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2120" windowHeight="9120" activeTab="13"/>
  </bookViews>
  <sheets>
    <sheet name="110" sheetId="1" r:id="rId1"/>
    <sheet name="201" sheetId="2" r:id="rId2"/>
    <sheet name="203" sheetId="3" r:id="rId3"/>
    <sheet name="204" sheetId="4" r:id="rId4"/>
    <sheet name="206" sheetId="5" r:id="rId5"/>
    <sheet name="215" sheetId="6" r:id="rId6"/>
    <sheet name="216" sheetId="7" r:id="rId7"/>
    <sheet name="218" sheetId="8" r:id="rId8"/>
    <sheet name="250" sheetId="9" r:id="rId9"/>
    <sheet name="251" sheetId="10" r:id="rId10"/>
    <sheet name="252" sheetId="11" r:id="rId11"/>
    <sheet name="322" sheetId="12" r:id="rId12"/>
    <sheet name="323" sheetId="13" r:id="rId13"/>
    <sheet name="540" sheetId="14" r:id="rId14"/>
  </sheets>
  <definedNames>
    <definedName name="_xlnm.Print_Titles" localSheetId="2">'203'!$3:$5</definedName>
    <definedName name="_xlnm.Print_Titles" localSheetId="5">'215'!$2:$5</definedName>
    <definedName name="_xlnm.Print_Titles" localSheetId="7">'218'!$4:$6</definedName>
    <definedName name="_xlnm.Print_Titles" localSheetId="11">'322'!$A:$A</definedName>
    <definedName name="_xlnm.Print_Titles" localSheetId="13">'540'!$2:$5</definedName>
  </definedNames>
  <calcPr fullCalcOnLoad="1"/>
</workbook>
</file>

<file path=xl/comments14.xml><?xml version="1.0" encoding="utf-8"?>
<comments xmlns="http://schemas.openxmlformats.org/spreadsheetml/2006/main">
  <authors>
    <author>Hart County Administrator</author>
  </authors>
  <commentList>
    <comment ref="F81" authorId="0">
      <text>
        <r>
          <rPr>
            <b/>
            <sz val="8"/>
            <rFont val="Tahoma"/>
            <family val="0"/>
          </rPr>
          <t>placed in 45100 in 2002</t>
        </r>
      </text>
    </comment>
  </commentList>
</comments>
</file>

<file path=xl/comments3.xml><?xml version="1.0" encoding="utf-8"?>
<comments xmlns="http://schemas.openxmlformats.org/spreadsheetml/2006/main">
  <authors>
    <author> Jon Caime, County Administrator</author>
    <author> Jon Caime Hart County Administrator</author>
  </authors>
  <commentList>
    <comment ref="A26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full enrolment = 21 X 8= 168. 
Assume 150 firemen
Assume 60% eligible at 50% meetings &amp; calls
(about 80 firemen eligible)</t>
        </r>
      </text>
    </comment>
    <comment ref="J107" authorId="1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change formula fy09 for dues</t>
        </r>
      </text>
    </comment>
    <comment ref="K107" authorId="1">
      <text>
        <r>
          <rPr>
            <b/>
            <sz val="8"/>
            <rFont val="Tahoma"/>
            <family val="0"/>
          </rPr>
          <t xml:space="preserve"> Jon Caime Hart County Administrator:</t>
        </r>
        <r>
          <rPr>
            <sz val="8"/>
            <rFont val="Tahoma"/>
            <family val="0"/>
          </rPr>
          <t xml:space="preserve">
change formula fy09 for dues</t>
        </r>
      </text>
    </comment>
  </commentList>
</comments>
</file>

<file path=xl/sharedStrings.xml><?xml version="1.0" encoding="utf-8"?>
<sst xmlns="http://schemas.openxmlformats.org/spreadsheetml/2006/main" count="909" uniqueCount="491">
  <si>
    <t>BUDGET WORKSHEET FISCAL YEAR</t>
  </si>
  <si>
    <t>201. Drug Abuse Treatment &amp; Education</t>
  </si>
  <si>
    <t>Month</t>
  </si>
  <si>
    <t>DEPARTMENT</t>
  </si>
  <si>
    <t>ADMINISTATOR</t>
  </si>
  <si>
    <t>COMMISION</t>
  </si>
  <si>
    <t>Actual</t>
  </si>
  <si>
    <t>Projection</t>
  </si>
  <si>
    <t>Budget</t>
  </si>
  <si>
    <t>REQUEST</t>
  </si>
  <si>
    <t>RECOMMENDED</t>
  </si>
  <si>
    <t>APPROVED</t>
  </si>
  <si>
    <t>REVENUES &amp; EXPENDITURES</t>
  </si>
  <si>
    <t>REMARKS</t>
  </si>
  <si>
    <t xml:space="preserve">Revenues    </t>
  </si>
  <si>
    <t>Fines/Superior Ct</t>
  </si>
  <si>
    <t>Fines/Magistrate Ct</t>
  </si>
  <si>
    <t>Fines/Probate Ct</t>
  </si>
  <si>
    <t xml:space="preserve">Interest </t>
  </si>
  <si>
    <t>Total Revenues</t>
  </si>
  <si>
    <t xml:space="preserve">Expenditures   </t>
  </si>
  <si>
    <t>Regular wages</t>
  </si>
  <si>
    <t>FICA</t>
  </si>
  <si>
    <t>Office supplies</t>
  </si>
  <si>
    <t>DARE Program/City</t>
  </si>
  <si>
    <t>DARE Program/School</t>
  </si>
  <si>
    <t>Total Expenditures</t>
  </si>
  <si>
    <t>Admin. Cuts fr. dpt. Req.</t>
  </si>
  <si>
    <t>Board Cuts</t>
  </si>
  <si>
    <t>ACTUAL</t>
  </si>
  <si>
    <t>FYR</t>
  </si>
  <si>
    <t xml:space="preserve">Revenues   </t>
  </si>
  <si>
    <t>Interest</t>
  </si>
  <si>
    <t>Revenues</t>
  </si>
  <si>
    <t>Insurance Tax</t>
  </si>
  <si>
    <t>Expenditures</t>
  </si>
  <si>
    <t>Wages Regular</t>
  </si>
  <si>
    <t>Firemans call pay</t>
  </si>
  <si>
    <t>Insurance</t>
  </si>
  <si>
    <t>Retirement</t>
  </si>
  <si>
    <t>Professional fees</t>
  </si>
  <si>
    <t>Disposal</t>
  </si>
  <si>
    <t>Repairs/Outside Labor</t>
  </si>
  <si>
    <t>Communication/telephone</t>
  </si>
  <si>
    <t>Postage</t>
  </si>
  <si>
    <t>Travel/Lodging</t>
  </si>
  <si>
    <t>Education/training</t>
  </si>
  <si>
    <t>Energy</t>
  </si>
  <si>
    <t>Firefighter's Dinner</t>
  </si>
  <si>
    <t>Books,textbooks,periodicals</t>
  </si>
  <si>
    <t>Bldgs/grounds supplies</t>
  </si>
  <si>
    <t>Turn-out Gear</t>
  </si>
  <si>
    <t xml:space="preserve">Uniform </t>
  </si>
  <si>
    <t>Parts/repair equipment</t>
  </si>
  <si>
    <t>Oil</t>
  </si>
  <si>
    <t>Tires/tubes</t>
  </si>
  <si>
    <t>Batteries</t>
  </si>
  <si>
    <t>Gasoline</t>
  </si>
  <si>
    <t>Diesel</t>
  </si>
  <si>
    <t>Computers</t>
  </si>
  <si>
    <t>Fire Hydrants</t>
  </si>
  <si>
    <t>Overtime wages</t>
  </si>
  <si>
    <t>Communications/Telephone</t>
  </si>
  <si>
    <t>Travel</t>
  </si>
  <si>
    <t>Dues</t>
  </si>
  <si>
    <t>Other Supplies</t>
  </si>
  <si>
    <t>Housekeeping supplies</t>
  </si>
  <si>
    <t>Uniform rental</t>
  </si>
  <si>
    <t>Part/repair equip</t>
  </si>
  <si>
    <t>Oil/petroleum</t>
  </si>
  <si>
    <t>Tire/tubes</t>
  </si>
  <si>
    <t>Site Improvements</t>
  </si>
  <si>
    <t>Capital-Computers &amp; Software</t>
  </si>
  <si>
    <t>Capital Radios</t>
  </si>
  <si>
    <t>203. Insurance Premium</t>
  </si>
  <si>
    <t>35000 Fire &amp;</t>
  </si>
  <si>
    <t>45100 Solid Waste</t>
  </si>
  <si>
    <t>Project.</t>
  </si>
  <si>
    <t>Dept.</t>
  </si>
  <si>
    <t>Request</t>
  </si>
  <si>
    <t>Adminst.</t>
  </si>
  <si>
    <t>Recc.</t>
  </si>
  <si>
    <t>Comm.</t>
  </si>
  <si>
    <t>Approved</t>
  </si>
  <si>
    <t xml:space="preserve">Percent </t>
  </si>
  <si>
    <t xml:space="preserve">Change </t>
  </si>
  <si>
    <t>Percent</t>
  </si>
  <si>
    <t>Change</t>
  </si>
  <si>
    <t>35000 FIRE</t>
  </si>
  <si>
    <t>35000 FIRE TOTAL EXPENDITURES</t>
  </si>
  <si>
    <t>45100 Solid Waste Administration</t>
  </si>
  <si>
    <t>45100 Solid Wste Total Expenditure</t>
  </si>
  <si>
    <t>Dues/fees</t>
  </si>
  <si>
    <t>10% Surcharge/Jail Fund</t>
  </si>
  <si>
    <t>Superior</t>
  </si>
  <si>
    <t>Magistrate</t>
  </si>
  <si>
    <t>Probate Court</t>
  </si>
  <si>
    <t>Expenses</t>
  </si>
  <si>
    <t>Technical/Paragon</t>
  </si>
  <si>
    <t>Repairs &amp; Maintenance</t>
  </si>
  <si>
    <t>Office Supplies</t>
  </si>
  <si>
    <t>Bldgs/Grounds supplies</t>
  </si>
  <si>
    <t>Capital outlay</t>
  </si>
  <si>
    <t>Total Expenses</t>
  </si>
  <si>
    <t>204.33260. Jail Operations</t>
  </si>
  <si>
    <t>Project</t>
  </si>
  <si>
    <t>Sale of Maps &amp; Publications</t>
  </si>
  <si>
    <t>Alltel Comm</t>
  </si>
  <si>
    <t xml:space="preserve">AT&amp;T Cell </t>
  </si>
  <si>
    <t>Cingular Wireless</t>
  </si>
  <si>
    <t>Bellsouth Corp</t>
  </si>
  <si>
    <t>Bellsouth Mobility</t>
  </si>
  <si>
    <t>Sprint Spec</t>
  </si>
  <si>
    <t>Triton Pcs</t>
  </si>
  <si>
    <t>Verizon</t>
  </si>
  <si>
    <t>Access Intergrated Network</t>
  </si>
  <si>
    <t>Cellco Partnership</t>
  </si>
  <si>
    <t>New South</t>
  </si>
  <si>
    <t>Nextel</t>
  </si>
  <si>
    <t>TriTel</t>
  </si>
  <si>
    <t>Trac phone</t>
  </si>
  <si>
    <t>T Mobile</t>
  </si>
  <si>
    <t>Z-Tel</t>
  </si>
  <si>
    <t>Vartec</t>
  </si>
  <si>
    <t>Regular employees</t>
  </si>
  <si>
    <t>Group insurance</t>
  </si>
  <si>
    <t>Retirement contributions</t>
  </si>
  <si>
    <t>Maint/E911 System</t>
  </si>
  <si>
    <t>Access Charges -Hart Telco</t>
  </si>
  <si>
    <t>ANI Charges - Hart Telco</t>
  </si>
  <si>
    <t>ANI/ALI Charges Bell South</t>
  </si>
  <si>
    <t>ANI/ALI Charges Alltel</t>
  </si>
  <si>
    <t>E911 Data Base Updates-Hart Telco</t>
  </si>
  <si>
    <t>Weather Service</t>
  </si>
  <si>
    <t>Other professional svcs</t>
  </si>
  <si>
    <t xml:space="preserve">Maint   </t>
  </si>
  <si>
    <t>Pest control</t>
  </si>
  <si>
    <t>Outside Labor</t>
  </si>
  <si>
    <t>Communications/telephone</t>
  </si>
  <si>
    <t>Printing &amp; Binding</t>
  </si>
  <si>
    <t>Dues and Fees</t>
  </si>
  <si>
    <t>Training</t>
  </si>
  <si>
    <t>Parts</t>
  </si>
  <si>
    <t>UHF Radio/Ant</t>
  </si>
  <si>
    <t>Recording System</t>
  </si>
  <si>
    <t>Machinery and Equipment</t>
  </si>
  <si>
    <t>Principal</t>
  </si>
  <si>
    <t>215.E911 Fund</t>
  </si>
  <si>
    <t>Interest/Investments/escrow</t>
  </si>
  <si>
    <t>signs</t>
  </si>
  <si>
    <t xml:space="preserve">computers </t>
  </si>
  <si>
    <t>Tax Partners</t>
  </si>
  <si>
    <t>Office Building</t>
  </si>
  <si>
    <t>EXPENDITURES/EXPENSES</t>
  </si>
  <si>
    <t>Hayes, James &amp; Assoc (GW)</t>
  </si>
  <si>
    <t>Goldie and Associates (Methane)</t>
  </si>
  <si>
    <t>Testing/Analytical Svc</t>
  </si>
  <si>
    <t>Engineering Services- Ground Water</t>
  </si>
  <si>
    <t>Bushhog Landfill</t>
  </si>
  <si>
    <t>Methane fix @ Landfill</t>
  </si>
  <si>
    <t>Ground Water-Hodges Mill Rd Project</t>
  </si>
  <si>
    <t>Ground Water Construction</t>
  </si>
  <si>
    <t>Methane Detectors (residual)</t>
  </si>
  <si>
    <t>DNR Grant</t>
  </si>
  <si>
    <t>RWR-15 Building Grant</t>
  </si>
  <si>
    <t>Refuse Collection Chgs</t>
  </si>
  <si>
    <t>Sale of recycling materials</t>
  </si>
  <si>
    <t>Airline Store</t>
  </si>
  <si>
    <t>Hartwell Pharmacy</t>
  </si>
  <si>
    <t>L&amp;J Hardware</t>
  </si>
  <si>
    <t>Airline Center</t>
  </si>
  <si>
    <t>Goldmine Center</t>
  </si>
  <si>
    <t>Hartwell Center</t>
  </si>
  <si>
    <t>Hickory Crossing</t>
  </si>
  <si>
    <t>Nuberg Center</t>
  </si>
  <si>
    <t>Reed Creek Center</t>
  </si>
  <si>
    <t>Sardis Center</t>
  </si>
  <si>
    <t>Shoal Creek Center</t>
  </si>
  <si>
    <t>Interest revenues/CD</t>
  </si>
  <si>
    <t>Interest revenues/Ck acct</t>
  </si>
  <si>
    <t>Rental Equipment/Vehicle</t>
  </si>
  <si>
    <t>Communications</t>
  </si>
  <si>
    <t>Education/Training</t>
  </si>
  <si>
    <t>Waste Management</t>
  </si>
  <si>
    <t>Grinding</t>
  </si>
  <si>
    <t>Garbage bags</t>
  </si>
  <si>
    <t>Parts/repair</t>
  </si>
  <si>
    <t>Site improvements</t>
  </si>
  <si>
    <t>Machinery</t>
  </si>
  <si>
    <t>REVENUES</t>
  </si>
  <si>
    <t>Bag Sales</t>
  </si>
  <si>
    <t>Glass Bin Extension</t>
  </si>
  <si>
    <t>Total Expenses 45100</t>
  </si>
  <si>
    <t>45600.EXPENDITURES/Closure and Post Closure</t>
  </si>
  <si>
    <t>DHR Payments</t>
  </si>
  <si>
    <t>DFACs Building Fund</t>
  </si>
  <si>
    <t>216. DFACs Building Fund</t>
  </si>
  <si>
    <t>Maint. Escrow</t>
  </si>
  <si>
    <t>Capital Lease</t>
  </si>
  <si>
    <t>HVAC</t>
  </si>
  <si>
    <t>Criminal Justice Council Grant</t>
  </si>
  <si>
    <t xml:space="preserve"> </t>
  </si>
  <si>
    <t>Hart County Clerk of Court</t>
  </si>
  <si>
    <t>Oglethorpe County Clerk of Court</t>
  </si>
  <si>
    <t>Elbert County Magistrate Court</t>
  </si>
  <si>
    <t>Hart County Magistrate Court</t>
  </si>
  <si>
    <t>Oglethorpe County Magistrate Court</t>
  </si>
  <si>
    <t>Elbert County Probate Court</t>
  </si>
  <si>
    <t>Franklin County Probate Court</t>
  </si>
  <si>
    <t>Hart County Probate Court</t>
  </si>
  <si>
    <t>Madison County Probate Court</t>
  </si>
  <si>
    <t>Oglethorpe County Probate Court</t>
  </si>
  <si>
    <t>City of Elberton</t>
  </si>
  <si>
    <t>City of Lavonia</t>
  </si>
  <si>
    <t>Elbert County State Court</t>
  </si>
  <si>
    <t xml:space="preserve">Franklin County  </t>
  </si>
  <si>
    <t>Madison County</t>
  </si>
  <si>
    <t>Northern Judicial Circuit</t>
  </si>
  <si>
    <t>Interest Revenues</t>
  </si>
  <si>
    <t>United Way Contributions</t>
  </si>
  <si>
    <t>Regular Wages</t>
  </si>
  <si>
    <t>Overtime Wages</t>
  </si>
  <si>
    <t>Group Insurance</t>
  </si>
  <si>
    <t>IOS Capital Maintenance</t>
  </si>
  <si>
    <t>Telephone</t>
  </si>
  <si>
    <t>Dues/Membership</t>
  </si>
  <si>
    <t>Misc Supplies</t>
  </si>
  <si>
    <t>Capital Equipment</t>
  </si>
  <si>
    <t>218.Victims' Assistance</t>
  </si>
  <si>
    <t>250.Multiple Grant Fund</t>
  </si>
  <si>
    <t>Recycle Building</t>
  </si>
  <si>
    <t>Recycle Bins</t>
  </si>
  <si>
    <t>GEFA-Recycle Bins</t>
  </si>
  <si>
    <t>Skelton's Grocery</t>
  </si>
  <si>
    <t>Other Equipment</t>
  </si>
  <si>
    <t>FUND BALANCE 9/30/2003</t>
  </si>
  <si>
    <t>recording system</t>
  </si>
  <si>
    <t>TOTAL EXPENSES:</t>
  </si>
  <si>
    <t xml:space="preserve">206.. </t>
  </si>
  <si>
    <t>note 1</t>
  </si>
  <si>
    <t>Overtime</t>
  </si>
  <si>
    <t>15950 General Administration fees</t>
  </si>
  <si>
    <t>Dues/Ga Mtns RDC</t>
  </si>
  <si>
    <t>note 2</t>
  </si>
  <si>
    <t>Behavorial Health Account</t>
  </si>
  <si>
    <t>Escrow Maint of Beh. Health Bldg.</t>
  </si>
  <si>
    <t xml:space="preserve">sprint  </t>
  </si>
  <si>
    <t xml:space="preserve">triton  </t>
  </si>
  <si>
    <t>onstar</t>
  </si>
  <si>
    <t>interest capital lease</t>
  </si>
  <si>
    <t>FUND BALANCE FY00</t>
  </si>
  <si>
    <t>FUND BALANCE FY02</t>
  </si>
  <si>
    <t>FUND BALANCE FY01</t>
  </si>
  <si>
    <t xml:space="preserve">Origianl </t>
  </si>
  <si>
    <t>Grant</t>
  </si>
  <si>
    <t>Amt.</t>
  </si>
  <si>
    <t>Expected</t>
  </si>
  <si>
    <t>110. Economic Development Fund:</t>
  </si>
  <si>
    <t>DDA</t>
  </si>
  <si>
    <t>Sesquicential Ad</t>
  </si>
  <si>
    <t>ADMIN</t>
  </si>
  <si>
    <t>REC</t>
  </si>
  <si>
    <t>DEPT</t>
  </si>
  <si>
    <t>Other</t>
  </si>
  <si>
    <t>City of Hartwell</t>
  </si>
  <si>
    <t xml:space="preserve">Alltel </t>
  </si>
  <si>
    <t>Bellsouth</t>
  </si>
  <si>
    <t xml:space="preserve">Hart Telephone </t>
  </si>
  <si>
    <t>Athens cell</t>
  </si>
  <si>
    <t>spent</t>
  </si>
  <si>
    <t xml:space="preserve">prior </t>
  </si>
  <si>
    <t>years</t>
  </si>
  <si>
    <t>Revenues minus expenses (fund balance transfer)</t>
  </si>
  <si>
    <t>Rev-exp (fund balance transfer)</t>
  </si>
  <si>
    <t>add to match audit</t>
  </si>
  <si>
    <t>FUND BALANCE FY03</t>
  </si>
  <si>
    <t>44100 HCWSA</t>
  </si>
  <si>
    <t>44100 Water and Sewer Authority</t>
  </si>
  <si>
    <t>HCWSA Quart. Supplement</t>
  </si>
  <si>
    <t>Investments</t>
  </si>
  <si>
    <t>Fund Balance 2004</t>
  </si>
  <si>
    <t>Fund Bal 2004</t>
  </si>
  <si>
    <t>Cash BALANCE 2003</t>
  </si>
  <si>
    <t>To Match Audit</t>
  </si>
  <si>
    <t>Cash BALANCE 2004</t>
  </si>
  <si>
    <t>see note 3</t>
  </si>
  <si>
    <t>note 2: includes full retirement paid for volunteer firemen participating in program (began in 05)</t>
  </si>
  <si>
    <t>Pagers</t>
  </si>
  <si>
    <t>To move HCWSA Supplement to 203 account the following charges were shifted to the 540 account in FY05 Need to add the budgeted amounts below to the budget above</t>
  </si>
  <si>
    <t>note 4</t>
  </si>
  <si>
    <t>excel</t>
  </si>
  <si>
    <t>ids</t>
  </si>
  <si>
    <t>virgin</t>
  </si>
  <si>
    <t>NEGA ltd partner</t>
  </si>
  <si>
    <t>new cingular wireless</t>
  </si>
  <si>
    <t>ga rsa 3</t>
  </si>
  <si>
    <t>ga rsa 1</t>
  </si>
  <si>
    <t>ga rsa 2</t>
  </si>
  <si>
    <t>nuvox</t>
  </si>
  <si>
    <t>Maint/pest control</t>
  </si>
  <si>
    <t>energy</t>
  </si>
  <si>
    <t>tires and tubes</t>
  </si>
  <si>
    <t>diesel</t>
  </si>
  <si>
    <t>note 5</t>
  </si>
  <si>
    <t>540.Solid Waste Proprietary Fund</t>
  </si>
  <si>
    <t>Depreciation</t>
  </si>
  <si>
    <t>Cash BALANCE 2002</t>
  </si>
  <si>
    <t>Hoses and other equip</t>
  </si>
  <si>
    <t>NO BUDGET REQUEST SUBMITTED</t>
  </si>
  <si>
    <t>251.EIP Revolving Fund</t>
  </si>
  <si>
    <t>Part Time Wages</t>
  </si>
  <si>
    <t>note 3</t>
  </si>
  <si>
    <t>note 3:  Budget will be adopted for phase 4 if required during the fiscal year</t>
  </si>
  <si>
    <t>moved to GF</t>
  </si>
  <si>
    <t>fix drainage prob @ cc</t>
  </si>
  <si>
    <t>Part time wages</t>
  </si>
  <si>
    <t>Feasibility Study MPF</t>
  </si>
  <si>
    <t>FEMA grants</t>
  </si>
  <si>
    <t>FEMA Grant</t>
  </si>
  <si>
    <t>Fund Balance 2005</t>
  </si>
  <si>
    <t>Fund Bal 2005</t>
  </si>
  <si>
    <t>Transfers In (Insurance Prem. Fund)</t>
  </si>
  <si>
    <t>Expenses Add to Match Audit</t>
  </si>
  <si>
    <t>Operating Expenses</t>
  </si>
  <si>
    <t>Total Interest Revenues</t>
  </si>
  <si>
    <t>Add to match audit</t>
  </si>
  <si>
    <t>Operating Income/loss</t>
  </si>
  <si>
    <t>Non Operating Revenues</t>
  </si>
  <si>
    <t>FUND BALANCE 2005</t>
  </si>
  <si>
    <t xml:space="preserve">note 1: Tipping fees do not cover the cost of disposal.  With all revenues generated the disposal of trash generates 80% of the cost </t>
  </si>
  <si>
    <t>Ga Trend Ad</t>
  </si>
  <si>
    <t>note 1:  investment of funds started FY06</t>
  </si>
  <si>
    <t>Interest Checking</t>
  </si>
  <si>
    <t>Interest Investments</t>
  </si>
  <si>
    <t>Education &amp; Training</t>
  </si>
  <si>
    <t>Machinery &amp; Equipment</t>
  </si>
  <si>
    <t>Live Fire Train Facility</t>
  </si>
  <si>
    <t>PTO Buyout</t>
  </si>
  <si>
    <t>HVAC Repairs</t>
  </si>
  <si>
    <t>overtime</t>
  </si>
  <si>
    <t>EMS Base</t>
  </si>
  <si>
    <t>Note 5:  Recommended Expenses shifted to 540 from 203 account in 2006, also billing will now be from SW Dept. rather than BOC office</t>
  </si>
  <si>
    <t>Admin. Cuts fr. Prior yr bud.</t>
  </si>
  <si>
    <t>Jaws of Life</t>
  </si>
  <si>
    <t>AEDs</t>
  </si>
  <si>
    <t>EIP Admin</t>
  </si>
  <si>
    <t>Audit</t>
  </si>
  <si>
    <t>Checking Interest</t>
  </si>
  <si>
    <t>DOAS Interest</t>
  </si>
  <si>
    <t>EIP Interest</t>
  </si>
  <si>
    <t>Principle Repayment</t>
  </si>
  <si>
    <t>252.EIP Revolving Fund</t>
  </si>
  <si>
    <t>note 6</t>
  </si>
  <si>
    <t>note 6: Includes expenses paid from ins. Prem fund</t>
  </si>
  <si>
    <t>Vanna/Bowersv.</t>
  </si>
  <si>
    <t>Nancy Hart Grass Truck</t>
  </si>
  <si>
    <t>Exepected Fund Bal 2008</t>
  </si>
  <si>
    <t>Potential Fund Bal 2008</t>
  </si>
  <si>
    <t xml:space="preserve">    Interest</t>
  </si>
  <si>
    <t>Exepected Fund Bal 2009</t>
  </si>
  <si>
    <t>Exepected Fund Bal 2010</t>
  </si>
  <si>
    <t>EIP Reapy</t>
  </si>
  <si>
    <t>Fund Balance 2006</t>
  </si>
  <si>
    <t>Fund Bal 2006</t>
  </si>
  <si>
    <t>FUND BALANCE 2006</t>
  </si>
  <si>
    <t>Expected Fund Balance 2008</t>
  </si>
  <si>
    <t>Mulch Sale</t>
  </si>
  <si>
    <t>Investments GA Fund 1</t>
  </si>
  <si>
    <t>other</t>
  </si>
  <si>
    <t>Dep</t>
  </si>
  <si>
    <t>Req</t>
  </si>
  <si>
    <t>Admin</t>
  </si>
  <si>
    <t>Recc</t>
  </si>
  <si>
    <t>Comm</t>
  </si>
  <si>
    <t>Note 4:  Expenses shifted to 540 from 203 account</t>
  </si>
  <si>
    <t>Note 4</t>
  </si>
  <si>
    <t xml:space="preserve">    Regular Wages</t>
  </si>
  <si>
    <t xml:space="preserve">    Health Insurance </t>
  </si>
  <si>
    <t xml:space="preserve">    FICA</t>
  </si>
  <si>
    <t>Regrade landfill cap</t>
  </si>
  <si>
    <t>Expected FUND BALANCE 2008</t>
  </si>
  <si>
    <t>speculation</t>
  </si>
  <si>
    <t>note: "speculation" means that at this point we do not know more firm numbers for insurance. Actual numbers become more concrete as fiscal year ends and new proposals received.</t>
  </si>
  <si>
    <t>theft replacement</t>
  </si>
  <si>
    <t>Dept</t>
  </si>
  <si>
    <t>App</t>
  </si>
  <si>
    <t>Franklin COC</t>
  </si>
  <si>
    <t>Franklin Co. Mag Court</t>
  </si>
  <si>
    <t>Madison County Mag. Court</t>
  </si>
  <si>
    <t>City of Royston</t>
  </si>
  <si>
    <t>City of Comer</t>
  </si>
  <si>
    <t>City of Canon</t>
  </si>
  <si>
    <t>SB White Water Project</t>
  </si>
  <si>
    <t>note 1: some costs shifted to 540 account FY07 depending on health of 540 account, may need to be moved back to 203 in later years</t>
  </si>
  <si>
    <t>overall note:  fund balance will be needed for expected future growth of full time fire department and growth of fire service needs</t>
  </si>
  <si>
    <t xml:space="preserve">note 4:Decrease a minimum of $27K/year to decrease amount of </t>
  </si>
  <si>
    <t>Workers comp</t>
  </si>
  <si>
    <t>Wireless Links</t>
  </si>
  <si>
    <t>Paving</t>
  </si>
  <si>
    <t>Workmans comp</t>
  </si>
  <si>
    <t>Elbert Co. COC</t>
  </si>
  <si>
    <t>Madison Co COC</t>
  </si>
  <si>
    <t>Medical Service</t>
  </si>
  <si>
    <t xml:space="preserve">note 3: required by ga50-8-33(b)(1) raised to $1.1 per capita in 2007 by GMRDC board </t>
  </si>
  <si>
    <t>note 7</t>
  </si>
  <si>
    <t>note 7: this project is expected to carryover to FY08</t>
  </si>
  <si>
    <t>2008-09</t>
  </si>
  <si>
    <t>Expected Fund Balance 2009</t>
  </si>
  <si>
    <t>Potential Fund Bal 2009</t>
  </si>
  <si>
    <t>Expected FUND BALANCE 2009</t>
  </si>
  <si>
    <t>PTO</t>
  </si>
  <si>
    <t>ztar</t>
  </si>
  <si>
    <t xml:space="preserve">    Work Comp</t>
  </si>
  <si>
    <t>scrap tire removal</t>
  </si>
  <si>
    <t>Hart Haven One Time Payment</t>
  </si>
  <si>
    <t xml:space="preserve"> Harmony Houe One Time Payment</t>
  </si>
  <si>
    <t>Other Agencies- Hartmony House</t>
  </si>
  <si>
    <t>Other Agencies-Hart Haven</t>
  </si>
  <si>
    <t>note1:  DA agreed to 40% of Hart Proceeds to Hart Haven and 20% to Harmony House</t>
  </si>
  <si>
    <t>note2:  DA agreed to two one time paymentsHart Haven</t>
  </si>
  <si>
    <t>Fund Bal 2000</t>
  </si>
  <si>
    <t>Fund Bal 2001</t>
  </si>
  <si>
    <t>Fund Bal 2002</t>
  </si>
  <si>
    <t>Fund Bal 2003</t>
  </si>
  <si>
    <t>Fund Balance 2000</t>
  </si>
  <si>
    <t>Fund Balance 2001</t>
  </si>
  <si>
    <t>Fund Balance 2002</t>
  </si>
  <si>
    <t>Fund Balance 2003</t>
  </si>
  <si>
    <t>Fund Balance 2007</t>
  </si>
  <si>
    <t>Fund Bal 2007</t>
  </si>
  <si>
    <t>FUND BALANCE 2007</t>
  </si>
  <si>
    <t>Medical Svc</t>
  </si>
  <si>
    <t>Vehicles</t>
  </si>
  <si>
    <t>Software Virus Protection</t>
  </si>
  <si>
    <t>Radio System</t>
  </si>
  <si>
    <t>Virus Software</t>
  </si>
  <si>
    <t>Education</t>
  </si>
  <si>
    <t>City of Franklin Springs</t>
  </si>
  <si>
    <t>Gen Fund HC BOC</t>
  </si>
  <si>
    <t>Misc Revenue</t>
  </si>
  <si>
    <t>Bad Check Fee</t>
  </si>
  <si>
    <t>Over time</t>
  </si>
  <si>
    <t>Note 4 &amp; speculation</t>
  </si>
  <si>
    <t>Health Insurance</t>
  </si>
  <si>
    <t>see note 5</t>
  </si>
  <si>
    <t>note 6: HCWSUA water line on Smith Mcgee Highway</t>
  </si>
  <si>
    <t>Recc. Tipping fee increase</t>
  </si>
  <si>
    <t>windstream</t>
  </si>
  <si>
    <t>note 1&amp; speculation</t>
  </si>
  <si>
    <t>note 1:  full time position added in FY08, department requests full time network and mapping position</t>
  </si>
  <si>
    <t>note 2: network infrastructure</t>
  </si>
  <si>
    <t>vonage</t>
  </si>
  <si>
    <t>level 3</t>
  </si>
  <si>
    <t>based on projected 08</t>
  </si>
  <si>
    <t>based on admin 08</t>
  </si>
  <si>
    <t>note 2: boc moved GF expenses to this acct in FY09 to liquidate this account</t>
  </si>
  <si>
    <t>Economic Developer</t>
  </si>
  <si>
    <t xml:space="preserve">   Job Incentive Pay</t>
  </si>
  <si>
    <t>note 7: Moved from GF for FY09</t>
  </si>
  <si>
    <t>Comp Plan Contract work</t>
  </si>
  <si>
    <t>Forest Resources (fire)</t>
  </si>
  <si>
    <t xml:space="preserve">note: "speculation" means that at this point we do not know more firm numbers for insurance. Actual numbers become more concrete when new policy received first quarter of next fiscal year </t>
  </si>
  <si>
    <t xml:space="preserve">Road Dept Wages </t>
  </si>
  <si>
    <t>Note 5:  This is the unincorporated rollback associated with General Fund and may be reversed in subsequent fiscal years</t>
  </si>
  <si>
    <t>START 4/1/2001</t>
  </si>
  <si>
    <t>Projects</t>
  </si>
  <si>
    <t>Water 44000</t>
  </si>
  <si>
    <t>County</t>
  </si>
  <si>
    <t>Hartwell</t>
  </si>
  <si>
    <t xml:space="preserve">FY09 </t>
  </si>
  <si>
    <t>FY09:  Actual amounts depend on prior fiscal year spending</t>
  </si>
  <si>
    <t>Undesignated funds to be allocated to Roads due to underfunding of roads in SPLOST III</t>
  </si>
  <si>
    <t>FY09</t>
  </si>
  <si>
    <t>Annually</t>
  </si>
  <si>
    <t>SPLOST Receipts</t>
  </si>
  <si>
    <t>EXPENSES</t>
  </si>
  <si>
    <t>Cities (Canon, Bow, Roy)</t>
  </si>
  <si>
    <t>Repay General Fund</t>
  </si>
  <si>
    <t>ROADS</t>
  </si>
  <si>
    <t>Roads-Paving DOT Contract 08</t>
  </si>
  <si>
    <t>Roads-Paving 1st time</t>
  </si>
  <si>
    <t>Roads-Misc</t>
  </si>
  <si>
    <t>Roads Bridges</t>
  </si>
  <si>
    <t>Old 29 water project</t>
  </si>
  <si>
    <t>Govt Campus Sewer Project</t>
  </si>
  <si>
    <t>Gateway REDLG Loan</t>
  </si>
  <si>
    <t>Gateway USDA Loan</t>
  </si>
  <si>
    <t>actual budget depends on prior year expenditures</t>
  </si>
  <si>
    <t>EC DEV</t>
  </si>
  <si>
    <t>WATER</t>
  </si>
  <si>
    <t>actual budget depends on actual receipts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</si>
</sst>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_(* #,##0.0000_);_(* \(#,##0.0000\);_(* &quot;-&quot;????_);_(@_)"/>
    <numFmt numFmtId="172" formatCode="0.00000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0.000000"/>
    <numFmt numFmtId="177" formatCode="#,##0.000"/>
    <numFmt numFmtId="178" formatCode="_(&quot;$&quot;* #,##0.0_);_(&quot;$&quot;* \(#,##0.0\);_(&quot;$&quot;* &quot;-&quot;??_);_(@_)"/>
    <numFmt numFmtId="179" formatCode="&quot;$&quot;#,##0"/>
    <numFmt numFmtId="180" formatCode="_(* #,##0.0_);_(* \(#,##0.0\);_(* &quot;-&quot;?_);_(@_)"/>
    <numFmt numFmtId="181" formatCode="&quot;$&quot;#,##0.0_);[Red]\(&quot;$&quot;#,##0.0\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dd\-mmm\-yy"/>
    <numFmt numFmtId="185" formatCode="&quot;$&quot;#,##0.00"/>
    <numFmt numFmtId="186" formatCode="mm/dd/yy"/>
    <numFmt numFmtId="187" formatCode="mmmm\ d\,\ yyyy"/>
    <numFmt numFmtId="188" formatCode="&quot;$&quot;#,##0.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%"/>
    <numFmt numFmtId="195" formatCode="0.00_);\(0.00\)"/>
    <numFmt numFmtId="196" formatCode="0.0_);\(0.0\)"/>
    <numFmt numFmtId="197" formatCode="0_);\(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_);\(#,##0.000\)"/>
    <numFmt numFmtId="203" formatCode="#,##0.0_);\(#,##0.0\)"/>
    <numFmt numFmtId="204" formatCode="_(* #,##0.000_);_(* \(#,##0.000\);_(* &quot;-&quot;???_);_(@_)"/>
    <numFmt numFmtId="205" formatCode="[$-409]dddd\,\ mmmm\ dd\,\ yyyy"/>
    <numFmt numFmtId="206" formatCode="[$-409]mmmm\-yy;@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ahoma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ahoma"/>
      <family val="2"/>
    </font>
    <font>
      <sz val="18"/>
      <name val="Arial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1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8" applyNumberFormat="1" applyFont="1" applyAlignment="1">
      <alignment/>
    </xf>
    <xf numFmtId="0" fontId="1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9" fontId="0" fillId="0" borderId="0" xfId="30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27" applyFont="1">
      <alignment/>
      <protection/>
    </xf>
    <xf numFmtId="164" fontId="9" fillId="0" borderId="0" xfId="27" applyNumberFormat="1" applyFont="1">
      <alignment/>
      <protection/>
    </xf>
    <xf numFmtId="0" fontId="9" fillId="0" borderId="0" xfId="27" applyFont="1" applyAlignment="1">
      <alignment horizontal="center"/>
      <protection/>
    </xf>
    <xf numFmtId="0" fontId="9" fillId="0" borderId="0" xfId="27" applyFont="1" applyBorder="1">
      <alignment/>
      <protection/>
    </xf>
    <xf numFmtId="164" fontId="9" fillId="0" borderId="0" xfId="27" applyNumberFormat="1" applyFont="1" applyBorder="1">
      <alignment/>
      <protection/>
    </xf>
    <xf numFmtId="0" fontId="9" fillId="0" borderId="2" xfId="27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69" fontId="9" fillId="0" borderId="0" xfId="15" applyNumberFormat="1" applyFont="1" applyAlignment="1">
      <alignment horizontal="left"/>
    </xf>
    <xf numFmtId="0" fontId="9" fillId="0" borderId="0" xfId="0" applyFont="1" applyAlignment="1">
      <alignment horizontal="left" indent="1"/>
    </xf>
    <xf numFmtId="164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27" applyNumberFormat="1" applyFont="1">
      <alignment/>
      <protection/>
    </xf>
    <xf numFmtId="3" fontId="9" fillId="0" borderId="4" xfId="0" applyNumberFormat="1" applyFont="1" applyBorder="1" applyAlignment="1">
      <alignment/>
    </xf>
    <xf numFmtId="169" fontId="9" fillId="0" borderId="4" xfId="15" applyNumberFormat="1" applyFont="1" applyBorder="1" applyAlignment="1">
      <alignment/>
    </xf>
    <xf numFmtId="0" fontId="11" fillId="0" borderId="0" xfId="27" applyFont="1" applyBorder="1" applyAlignment="1">
      <alignment horizontal="right"/>
      <protection/>
    </xf>
    <xf numFmtId="169" fontId="11" fillId="0" borderId="0" xfId="15" applyNumberFormat="1" applyFont="1" applyAlignment="1">
      <alignment/>
    </xf>
    <xf numFmtId="0" fontId="9" fillId="0" borderId="0" xfId="28" applyFont="1" applyAlignment="1">
      <alignment horizontal="left" indent="1"/>
      <protection/>
    </xf>
    <xf numFmtId="164" fontId="9" fillId="0" borderId="0" xfId="28" applyNumberFormat="1" applyFont="1">
      <alignment/>
      <protection/>
    </xf>
    <xf numFmtId="3" fontId="9" fillId="0" borderId="0" xfId="28" applyNumberFormat="1" applyFont="1">
      <alignment/>
      <protection/>
    </xf>
    <xf numFmtId="10" fontId="9" fillId="0" borderId="0" xfId="0" applyNumberFormat="1" applyFont="1" applyAlignment="1">
      <alignment/>
    </xf>
    <xf numFmtId="0" fontId="9" fillId="0" borderId="0" xfId="27" applyFont="1" applyBorder="1" applyAlignment="1">
      <alignment horizontal="right"/>
      <protection/>
    </xf>
    <xf numFmtId="3" fontId="9" fillId="0" borderId="0" xfId="0" applyNumberFormat="1" applyFont="1" applyBorder="1" applyAlignment="1">
      <alignment/>
    </xf>
    <xf numFmtId="0" fontId="9" fillId="0" borderId="0" xfId="27" applyFont="1" applyBorder="1" applyAlignment="1">
      <alignment horizontal="left" indent="1"/>
      <protection/>
    </xf>
    <xf numFmtId="3" fontId="9" fillId="0" borderId="0" xfId="29" applyNumberFormat="1" applyFont="1">
      <alignment/>
      <protection/>
    </xf>
    <xf numFmtId="0" fontId="9" fillId="0" borderId="0" xfId="29" applyFont="1" applyAlignment="1">
      <alignment horizontal="left" indent="1"/>
      <protection/>
    </xf>
    <xf numFmtId="164" fontId="9" fillId="0" borderId="0" xfId="29" applyNumberFormat="1" applyFont="1">
      <alignment/>
      <protection/>
    </xf>
    <xf numFmtId="0" fontId="9" fillId="0" borderId="0" xfId="29" applyFont="1">
      <alignment/>
      <protection/>
    </xf>
    <xf numFmtId="0" fontId="9" fillId="0" borderId="0" xfId="27" applyFont="1" applyBorder="1" applyAlignment="1">
      <alignment horizontal="left" indent="3"/>
      <protection/>
    </xf>
    <xf numFmtId="0" fontId="11" fillId="0" borderId="5" xfId="27" applyFont="1" applyBorder="1" applyAlignment="1">
      <alignment horizontal="right"/>
      <protection/>
    </xf>
    <xf numFmtId="3" fontId="11" fillId="0" borderId="5" xfId="0" applyNumberFormat="1" applyFont="1" applyBorder="1" applyAlignment="1">
      <alignment/>
    </xf>
    <xf numFmtId="1" fontId="9" fillId="0" borderId="0" xfId="29" applyNumberFormat="1" applyFont="1">
      <alignment/>
      <protection/>
    </xf>
    <xf numFmtId="4" fontId="9" fillId="0" borderId="0" xfId="29" applyNumberFormat="1" applyFont="1">
      <alignment/>
      <protection/>
    </xf>
    <xf numFmtId="0" fontId="9" fillId="0" borderId="0" xfId="28" applyFont="1">
      <alignment/>
      <protection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1" fillId="0" borderId="0" xfId="27" applyFont="1" applyBorder="1" applyAlignment="1">
      <alignment horizontal="left"/>
      <protection/>
    </xf>
    <xf numFmtId="0" fontId="9" fillId="0" borderId="0" xfId="27" applyNumberFormat="1" applyFont="1">
      <alignment/>
      <protection/>
    </xf>
    <xf numFmtId="3" fontId="9" fillId="0" borderId="0" xfId="28" applyNumberFormat="1" applyFont="1" applyBorder="1">
      <alignment/>
      <protection/>
    </xf>
    <xf numFmtId="169" fontId="9" fillId="0" borderId="0" xfId="15" applyNumberFormat="1" applyFont="1" applyBorder="1" applyAlignment="1">
      <alignment/>
    </xf>
    <xf numFmtId="0" fontId="9" fillId="0" borderId="0" xfId="27" applyNumberFormat="1" applyFont="1" applyBorder="1">
      <alignment/>
      <protection/>
    </xf>
    <xf numFmtId="0" fontId="11" fillId="0" borderId="0" xfId="27" applyNumberFormat="1" applyFont="1">
      <alignment/>
      <protection/>
    </xf>
    <xf numFmtId="3" fontId="11" fillId="0" borderId="0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0" fontId="11" fillId="0" borderId="0" xfId="29" applyFont="1">
      <alignment/>
      <protection/>
    </xf>
    <xf numFmtId="169" fontId="11" fillId="0" borderId="0" xfId="29" applyNumberFormat="1" applyFont="1">
      <alignment/>
      <protection/>
    </xf>
    <xf numFmtId="165" fontId="11" fillId="0" borderId="0" xfId="18" applyNumberFormat="1" applyFont="1" applyAlignment="1">
      <alignment/>
    </xf>
    <xf numFmtId="6" fontId="11" fillId="0" borderId="0" xfId="29" applyNumberFormat="1" applyFont="1">
      <alignment/>
      <protection/>
    </xf>
    <xf numFmtId="3" fontId="9" fillId="0" borderId="0" xfId="28" applyNumberFormat="1" applyFont="1" applyAlignment="1">
      <alignment horizontal="right"/>
      <protection/>
    </xf>
    <xf numFmtId="3" fontId="9" fillId="0" borderId="0" xfId="27" applyNumberFormat="1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9" fillId="0" borderId="4" xfId="27" applyNumberFormat="1" applyFont="1" applyBorder="1">
      <alignment/>
      <protection/>
    </xf>
    <xf numFmtId="3" fontId="11" fillId="0" borderId="0" xfId="15" applyNumberFormat="1" applyFont="1" applyAlignment="1">
      <alignment/>
    </xf>
    <xf numFmtId="3" fontId="9" fillId="0" borderId="0" xfId="15" applyNumberFormat="1" applyFont="1" applyAlignment="1">
      <alignment horizontal="right"/>
    </xf>
    <xf numFmtId="3" fontId="9" fillId="0" borderId="0" xfId="27" applyNumberFormat="1" applyFont="1" applyBorder="1">
      <alignment/>
      <protection/>
    </xf>
    <xf numFmtId="3" fontId="11" fillId="0" borderId="0" xfId="29" applyNumberFormat="1" applyFont="1">
      <alignment/>
      <protection/>
    </xf>
    <xf numFmtId="169" fontId="9" fillId="0" borderId="0" xfId="15" applyNumberFormat="1" applyFont="1" applyAlignment="1">
      <alignment horizontal="center"/>
    </xf>
    <xf numFmtId="169" fontId="11" fillId="0" borderId="0" xfId="15" applyNumberFormat="1" applyFont="1" applyBorder="1" applyAlignment="1">
      <alignment/>
    </xf>
    <xf numFmtId="169" fontId="11" fillId="0" borderId="0" xfId="15" applyNumberFormat="1" applyFont="1" applyAlignment="1">
      <alignment horizontal="left"/>
    </xf>
    <xf numFmtId="0" fontId="11" fillId="0" borderId="0" xfId="15" applyNumberFormat="1" applyFont="1" applyAlignment="1">
      <alignment horizontal="center"/>
    </xf>
    <xf numFmtId="169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169" fontId="0" fillId="0" borderId="4" xfId="15" applyNumberFormat="1" applyBorder="1" applyAlignment="1">
      <alignment/>
    </xf>
    <xf numFmtId="0" fontId="1" fillId="0" borderId="0" xfId="0" applyFont="1" applyAlignment="1">
      <alignment horizontal="right" indent="1"/>
    </xf>
    <xf numFmtId="165" fontId="1" fillId="0" borderId="0" xfId="18" applyNumberFormat="1" applyFont="1" applyAlignment="1">
      <alignment/>
    </xf>
    <xf numFmtId="9" fontId="9" fillId="0" borderId="0" xfId="30" applyFont="1" applyAlignment="1">
      <alignment/>
    </xf>
    <xf numFmtId="9" fontId="9" fillId="0" borderId="2" xfId="3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 applyFont="1">
      <alignment/>
      <protection/>
    </xf>
    <xf numFmtId="164" fontId="4" fillId="0" borderId="0" xfId="27" applyNumberFormat="1" applyFo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12" fillId="0" borderId="0" xfId="27" applyFont="1" applyBorder="1" applyAlignment="1">
      <alignment horizontal="left" indent="1"/>
      <protection/>
    </xf>
    <xf numFmtId="169" fontId="4" fillId="0" borderId="0" xfId="15" applyNumberFormat="1" applyFont="1" applyAlignment="1">
      <alignment/>
    </xf>
    <xf numFmtId="0" fontId="4" fillId="0" borderId="2" xfId="27" applyFont="1" applyBorder="1">
      <alignment/>
      <protection/>
    </xf>
    <xf numFmtId="169" fontId="4" fillId="0" borderId="2" xfId="15" applyNumberFormat="1" applyFont="1" applyBorder="1" applyAlignment="1">
      <alignment/>
    </xf>
    <xf numFmtId="0" fontId="12" fillId="0" borderId="0" xfId="27" applyFont="1" applyBorder="1" applyAlignment="1">
      <alignment horizontal="right"/>
      <protection/>
    </xf>
    <xf numFmtId="169" fontId="12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27" applyFont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9" fontId="12" fillId="0" borderId="0" xfId="27" applyNumberFormat="1" applyFont="1">
      <alignment/>
      <protection/>
    </xf>
    <xf numFmtId="164" fontId="4" fillId="0" borderId="0" xfId="27" applyNumberFormat="1" applyFont="1" applyBorder="1">
      <alignment/>
      <protection/>
    </xf>
    <xf numFmtId="11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" xfId="2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165" fontId="12" fillId="0" borderId="0" xfId="18" applyNumberFormat="1" applyFont="1" applyAlignment="1">
      <alignment/>
    </xf>
    <xf numFmtId="169" fontId="4" fillId="0" borderId="0" xfId="15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9" fontId="12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3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8"/>
    </xf>
    <xf numFmtId="0" fontId="1" fillId="0" borderId="0" xfId="0" applyFont="1" applyAlignment="1">
      <alignment horizontal="left" indent="8"/>
    </xf>
    <xf numFmtId="3" fontId="1" fillId="0" borderId="0" xfId="0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9" fontId="4" fillId="0" borderId="0" xfId="27" applyNumberFormat="1" applyFont="1">
      <alignment/>
      <protection/>
    </xf>
    <xf numFmtId="165" fontId="1" fillId="0" borderId="0" xfId="0" applyNumberFormat="1" applyFont="1" applyAlignment="1">
      <alignment/>
    </xf>
    <xf numFmtId="165" fontId="11" fillId="0" borderId="0" xfId="29" applyNumberFormat="1" applyFont="1">
      <alignment/>
      <protection/>
    </xf>
    <xf numFmtId="165" fontId="12" fillId="0" borderId="0" xfId="0" applyNumberFormat="1" applyFont="1" applyAlignment="1">
      <alignment/>
    </xf>
    <xf numFmtId="9" fontId="9" fillId="0" borderId="4" xfId="3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9" fontId="4" fillId="0" borderId="0" xfId="30" applyFont="1" applyAlignment="1">
      <alignment/>
    </xf>
    <xf numFmtId="3" fontId="12" fillId="0" borderId="3" xfId="0" applyNumberFormat="1" applyFont="1" applyBorder="1" applyAlignment="1">
      <alignment/>
    </xf>
    <xf numFmtId="165" fontId="9" fillId="0" borderId="0" xfId="18" applyNumberFormat="1" applyFont="1" applyAlignment="1">
      <alignment/>
    </xf>
    <xf numFmtId="164" fontId="9" fillId="0" borderId="4" xfId="29" applyNumberFormat="1" applyFont="1" applyBorder="1">
      <alignment/>
      <protection/>
    </xf>
    <xf numFmtId="1" fontId="4" fillId="0" borderId="0" xfId="0" applyNumberFormat="1" applyFont="1" applyAlignment="1">
      <alignment/>
    </xf>
    <xf numFmtId="165" fontId="0" fillId="0" borderId="0" xfId="18" applyNumberFormat="1" applyAlignment="1">
      <alignment/>
    </xf>
    <xf numFmtId="0" fontId="0" fillId="0" borderId="0" xfId="0" applyFont="1" applyAlignment="1">
      <alignment horizontal="left"/>
    </xf>
    <xf numFmtId="0" fontId="4" fillId="0" borderId="5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11" fillId="0" borderId="0" xfId="29" applyFont="1" applyAlignment="1">
      <alignment horizontal="center"/>
      <protection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0" xfId="27" applyNumberFormat="1" applyFont="1">
      <alignment/>
      <protection/>
    </xf>
    <xf numFmtId="37" fontId="11" fillId="0" borderId="0" xfId="29" applyNumberFormat="1" applyFont="1">
      <alignment/>
      <protection/>
    </xf>
    <xf numFmtId="37" fontId="4" fillId="0" borderId="0" xfId="0" applyNumberFormat="1" applyFont="1" applyAlignment="1">
      <alignment/>
    </xf>
    <xf numFmtId="37" fontId="12" fillId="0" borderId="0" xfId="18" applyNumberFormat="1" applyFont="1" applyAlignment="1">
      <alignment/>
    </xf>
    <xf numFmtId="37" fontId="9" fillId="0" borderId="0" xfId="27" applyNumberFormat="1" applyFont="1">
      <alignment/>
      <protection/>
    </xf>
    <xf numFmtId="198" fontId="4" fillId="0" borderId="0" xfId="27" applyNumberFormat="1" applyFont="1">
      <alignment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4" fillId="0" borderId="0" xfId="30" applyFont="1" applyAlignment="1">
      <alignment horizontal="center"/>
    </xf>
    <xf numFmtId="9" fontId="9" fillId="0" borderId="0" xfId="30" applyFont="1" applyBorder="1" applyAlignment="1">
      <alignment/>
    </xf>
    <xf numFmtId="9" fontId="9" fillId="0" borderId="6" xfId="30" applyFont="1" applyBorder="1" applyAlignment="1">
      <alignment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3" fontId="11" fillId="0" borderId="0" xfId="27" applyNumberFormat="1" applyFont="1">
      <alignment/>
      <protection/>
    </xf>
    <xf numFmtId="3" fontId="11" fillId="0" borderId="0" xfId="0" applyNumberFormat="1" applyFont="1" applyAlignment="1">
      <alignment/>
    </xf>
    <xf numFmtId="0" fontId="12" fillId="0" borderId="0" xfId="29" applyFont="1">
      <alignment/>
      <protection/>
    </xf>
    <xf numFmtId="165" fontId="4" fillId="0" borderId="0" xfId="0" applyNumberFormat="1" applyFont="1" applyAlignment="1">
      <alignment/>
    </xf>
    <xf numFmtId="169" fontId="4" fillId="0" borderId="0" xfId="15" applyNumberFormat="1" applyFont="1" applyAlignment="1">
      <alignment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169" fontId="15" fillId="0" borderId="0" xfId="15" applyNumberFormat="1" applyFont="1" applyAlignment="1">
      <alignment/>
    </xf>
    <xf numFmtId="185" fontId="0" fillId="0" borderId="0" xfId="0" applyNumberFormat="1" applyAlignment="1">
      <alignment/>
    </xf>
    <xf numFmtId="198" fontId="4" fillId="0" borderId="0" xfId="0" applyNumberFormat="1" applyFont="1" applyAlignment="1">
      <alignment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left" indent="1"/>
    </xf>
    <xf numFmtId="198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 horizontal="left" indent="7"/>
    </xf>
    <xf numFmtId="37" fontId="4" fillId="0" borderId="0" xfId="0" applyNumberFormat="1" applyFont="1" applyAlignment="1">
      <alignment horizontal="left" indent="1"/>
    </xf>
    <xf numFmtId="0" fontId="4" fillId="0" borderId="0" xfId="29" applyFont="1" applyAlignment="1">
      <alignment horizontal="left" indent="1"/>
      <protection/>
    </xf>
    <xf numFmtId="164" fontId="4" fillId="0" borderId="0" xfId="29" applyNumberFormat="1" applyFont="1">
      <alignment/>
      <protection/>
    </xf>
    <xf numFmtId="3" fontId="4" fillId="0" borderId="0" xfId="29" applyNumberFormat="1" applyFont="1">
      <alignment/>
      <protection/>
    </xf>
    <xf numFmtId="3" fontId="4" fillId="0" borderId="0" xfId="27" applyNumberFormat="1" applyFont="1">
      <alignment/>
      <protection/>
    </xf>
    <xf numFmtId="37" fontId="4" fillId="0" borderId="2" xfId="0" applyNumberFormat="1" applyFont="1" applyBorder="1" applyAlignment="1">
      <alignment/>
    </xf>
    <xf numFmtId="37" fontId="12" fillId="0" borderId="0" xfId="0" applyNumberFormat="1" applyFont="1" applyAlignment="1">
      <alignment horizontal="left" indent="7"/>
    </xf>
    <xf numFmtId="37" fontId="4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12" fillId="0" borderId="6" xfId="0" applyNumberFormat="1" applyFont="1" applyBorder="1" applyAlignment="1">
      <alignment horizontal="right"/>
    </xf>
    <xf numFmtId="198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12" fillId="0" borderId="6" xfId="0" applyNumberFormat="1" applyFont="1" applyBorder="1" applyAlignment="1">
      <alignment/>
    </xf>
    <xf numFmtId="9" fontId="12" fillId="0" borderId="0" xfId="30" applyFont="1" applyAlignment="1">
      <alignment/>
    </xf>
    <xf numFmtId="37" fontId="12" fillId="0" borderId="0" xfId="15" applyNumberFormat="1" applyFont="1" applyAlignment="1">
      <alignment/>
    </xf>
    <xf numFmtId="37" fontId="4" fillId="0" borderId="6" xfId="0" applyNumberFormat="1" applyFont="1" applyBorder="1" applyAlignment="1">
      <alignment horizontal="left" indent="1"/>
    </xf>
    <xf numFmtId="37" fontId="12" fillId="0" borderId="0" xfId="0" applyNumberFormat="1" applyFont="1" applyAlignment="1">
      <alignment/>
    </xf>
    <xf numFmtId="37" fontId="4" fillId="0" borderId="0" xfId="29" applyNumberFormat="1" applyFont="1" applyAlignment="1">
      <alignment horizontal="left"/>
      <protection/>
    </xf>
    <xf numFmtId="198" fontId="4" fillId="0" borderId="0" xfId="29" applyNumberFormat="1" applyFont="1">
      <alignment/>
      <protection/>
    </xf>
    <xf numFmtId="37" fontId="4" fillId="0" borderId="0" xfId="29" applyNumberFormat="1" applyFont="1">
      <alignment/>
      <protection/>
    </xf>
    <xf numFmtId="37" fontId="4" fillId="0" borderId="0" xfId="15" applyNumberFormat="1" applyFont="1" applyAlignment="1">
      <alignment/>
    </xf>
    <xf numFmtId="37" fontId="4" fillId="0" borderId="0" xfId="27" applyNumberFormat="1" applyFont="1">
      <alignment/>
      <protection/>
    </xf>
    <xf numFmtId="37" fontId="4" fillId="0" borderId="0" xfId="30" applyNumberFormat="1" applyFont="1" applyAlignment="1">
      <alignment/>
    </xf>
    <xf numFmtId="1" fontId="11" fillId="0" borderId="0" xfId="0" applyNumberFormat="1" applyFont="1" applyAlignment="1">
      <alignment/>
    </xf>
    <xf numFmtId="169" fontId="0" fillId="0" borderId="0" xfId="15" applyNumberFormat="1" applyAlignment="1">
      <alignment/>
    </xf>
    <xf numFmtId="169" fontId="1" fillId="0" borderId="0" xfId="15" applyNumberFormat="1" applyFont="1" applyAlignment="1">
      <alignment/>
    </xf>
    <xf numFmtId="169" fontId="0" fillId="0" borderId="0" xfId="15" applyNumberFormat="1" applyAlignment="1">
      <alignment horizontal="right"/>
    </xf>
    <xf numFmtId="169" fontId="0" fillId="0" borderId="0" xfId="15" applyNumberFormat="1" applyFont="1" applyAlignment="1">
      <alignment/>
    </xf>
    <xf numFmtId="164" fontId="9" fillId="0" borderId="0" xfId="0" applyNumberFormat="1" applyFont="1" applyBorder="1" applyAlignment="1">
      <alignment/>
    </xf>
    <xf numFmtId="164" fontId="9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9" fontId="11" fillId="0" borderId="7" xfId="30" applyFont="1" applyBorder="1" applyAlignment="1">
      <alignment/>
    </xf>
    <xf numFmtId="0" fontId="12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169" fontId="16" fillId="0" borderId="8" xfId="0" applyNumberFormat="1" applyFont="1" applyBorder="1" applyAlignment="1">
      <alignment/>
    </xf>
    <xf numFmtId="0" fontId="16" fillId="0" borderId="8" xfId="0" applyFont="1" applyBorder="1" applyAlignment="1">
      <alignment horizontal="left" indent="3"/>
    </xf>
    <xf numFmtId="169" fontId="16" fillId="0" borderId="0" xfId="0" applyNumberFormat="1" applyFont="1" applyAlignment="1">
      <alignment/>
    </xf>
    <xf numFmtId="0" fontId="5" fillId="0" borderId="8" xfId="0" applyFont="1" applyBorder="1" applyAlignment="1">
      <alignment horizontal="left" indent="1"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DFACS Budget FY04" xfId="27"/>
    <cellStyle name="Normal_Fire '03" xfId="28"/>
    <cellStyle name="Normal_Solid Waste '03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">
      <selection activeCell="F38" sqref="F38"/>
    </sheetView>
  </sheetViews>
  <sheetFormatPr defaultColWidth="9.140625" defaultRowHeight="12.75"/>
  <cols>
    <col min="1" max="1" width="28.00390625" style="141" bestFit="1" customWidth="1"/>
    <col min="2" max="2" width="9.00390625" style="141" customWidth="1"/>
    <col min="3" max="3" width="9.140625" style="141" hidden="1" customWidth="1"/>
    <col min="4" max="6" width="9.140625" style="141" customWidth="1"/>
    <col min="7" max="7" width="9.7109375" style="141" bestFit="1" customWidth="1"/>
    <col min="8" max="16384" width="9.140625" style="141" customWidth="1"/>
  </cols>
  <sheetData>
    <row r="1" ht="11.25">
      <c r="B1" s="21"/>
    </row>
    <row r="2" ht="11.25">
      <c r="A2" s="22" t="s">
        <v>257</v>
      </c>
    </row>
    <row r="3" ht="11.25">
      <c r="G3" s="229">
        <v>6</v>
      </c>
    </row>
    <row r="4" spans="3:13" ht="11.25">
      <c r="C4" s="18"/>
      <c r="D4" s="18"/>
      <c r="E4" s="18"/>
      <c r="F4" s="18"/>
      <c r="G4" s="18" t="s">
        <v>2</v>
      </c>
      <c r="H4" s="18"/>
      <c r="I4" s="144"/>
      <c r="J4" s="18" t="s">
        <v>262</v>
      </c>
      <c r="K4" s="18" t="s">
        <v>260</v>
      </c>
      <c r="L4" s="18" t="s">
        <v>5</v>
      </c>
      <c r="M4" s="18" t="s">
        <v>86</v>
      </c>
    </row>
    <row r="5" spans="3:13" ht="11.25">
      <c r="C5" s="144" t="s">
        <v>6</v>
      </c>
      <c r="D5" s="144" t="s">
        <v>6</v>
      </c>
      <c r="E5" s="144" t="s">
        <v>6</v>
      </c>
      <c r="F5" s="144" t="s">
        <v>6</v>
      </c>
      <c r="G5" s="144" t="s">
        <v>6</v>
      </c>
      <c r="H5" s="144" t="s">
        <v>7</v>
      </c>
      <c r="I5" s="144" t="s">
        <v>8</v>
      </c>
      <c r="J5" s="18" t="s">
        <v>9</v>
      </c>
      <c r="K5" s="18" t="s">
        <v>261</v>
      </c>
      <c r="L5" s="18" t="s">
        <v>11</v>
      </c>
      <c r="M5" s="18" t="s">
        <v>87</v>
      </c>
    </row>
    <row r="6" spans="1:14" ht="12" thickBot="1">
      <c r="A6" s="141" t="s">
        <v>12</v>
      </c>
      <c r="C6" s="145">
        <v>2004</v>
      </c>
      <c r="D6" s="145">
        <v>2005</v>
      </c>
      <c r="E6" s="145">
        <v>2006</v>
      </c>
      <c r="F6" s="145">
        <v>2007</v>
      </c>
      <c r="G6" s="145">
        <v>2008</v>
      </c>
      <c r="H6" s="145">
        <v>2008</v>
      </c>
      <c r="I6" s="145">
        <v>2008</v>
      </c>
      <c r="J6" s="145">
        <v>2009</v>
      </c>
      <c r="K6" s="145">
        <v>2009</v>
      </c>
      <c r="L6" s="145">
        <v>2009</v>
      </c>
      <c r="M6" s="19" t="s">
        <v>406</v>
      </c>
      <c r="N6" s="19" t="s">
        <v>13</v>
      </c>
    </row>
    <row r="7" spans="1:13" ht="11.25">
      <c r="A7" s="146" t="s">
        <v>14</v>
      </c>
      <c r="B7" s="142"/>
      <c r="C7" s="142"/>
      <c r="D7" s="142"/>
      <c r="E7" s="142"/>
      <c r="F7" s="142"/>
      <c r="G7" s="30"/>
      <c r="H7" s="30"/>
      <c r="I7" s="30"/>
      <c r="J7" s="30"/>
      <c r="K7" s="30"/>
      <c r="L7" s="30"/>
      <c r="M7" s="30"/>
    </row>
    <row r="8" spans="1:14" ht="11.25">
      <c r="A8" s="147" t="s">
        <v>18</v>
      </c>
      <c r="B8" s="142">
        <v>36.1</v>
      </c>
      <c r="C8" s="142"/>
      <c r="D8" s="142"/>
      <c r="E8" s="152">
        <v>4789</v>
      </c>
      <c r="F8" s="152">
        <v>4996</v>
      </c>
      <c r="G8" s="30"/>
      <c r="H8" s="30">
        <f>+G8/$G$3*12</f>
        <v>0</v>
      </c>
      <c r="I8" s="30">
        <v>5000</v>
      </c>
      <c r="J8" s="30">
        <v>5000</v>
      </c>
      <c r="K8" s="30">
        <v>5000</v>
      </c>
      <c r="L8" s="30">
        <v>5000</v>
      </c>
      <c r="M8" s="148"/>
      <c r="N8" s="141" t="s">
        <v>239</v>
      </c>
    </row>
    <row r="9" spans="1:13" ht="11.25">
      <c r="A9" s="147"/>
      <c r="B9" s="142"/>
      <c r="C9" s="142"/>
      <c r="D9" s="142"/>
      <c r="E9" s="142"/>
      <c r="F9" s="142"/>
      <c r="G9" s="30"/>
      <c r="H9" s="30"/>
      <c r="I9" s="30"/>
      <c r="J9" s="30"/>
      <c r="K9" s="30"/>
      <c r="L9" s="30"/>
      <c r="M9" s="148"/>
    </row>
    <row r="10" spans="1:13" ht="11.25">
      <c r="A10" s="147" t="s">
        <v>19</v>
      </c>
      <c r="B10" s="142"/>
      <c r="C10" s="149">
        <f>SUM(C8:C9)</f>
        <v>0</v>
      </c>
      <c r="D10" s="149"/>
      <c r="E10" s="149">
        <v>4789</v>
      </c>
      <c r="F10" s="149">
        <v>4996</v>
      </c>
      <c r="G10" s="149">
        <f aca="true" t="shared" si="0" ref="G10:L10">SUM(G8:G9)</f>
        <v>0</v>
      </c>
      <c r="H10" s="149">
        <f t="shared" si="0"/>
        <v>0</v>
      </c>
      <c r="I10" s="149">
        <f t="shared" si="0"/>
        <v>5000</v>
      </c>
      <c r="J10" s="149">
        <f t="shared" si="0"/>
        <v>5000</v>
      </c>
      <c r="K10" s="149">
        <f t="shared" si="0"/>
        <v>5000</v>
      </c>
      <c r="L10" s="149">
        <f t="shared" si="0"/>
        <v>5000</v>
      </c>
      <c r="M10" s="148"/>
    </row>
    <row r="11" spans="2:13" ht="11.25">
      <c r="B11" s="142"/>
      <c r="C11" s="142"/>
      <c r="D11" s="142"/>
      <c r="E11" s="142"/>
      <c r="F11" s="142"/>
      <c r="G11" s="30"/>
      <c r="H11" s="30"/>
      <c r="I11" s="30"/>
      <c r="J11" s="30"/>
      <c r="K11" s="30"/>
      <c r="L11" s="30"/>
      <c r="M11" s="148"/>
    </row>
    <row r="12" spans="2:13" ht="11.25">
      <c r="B12" s="142"/>
      <c r="C12" s="142"/>
      <c r="D12" s="142"/>
      <c r="E12" s="142"/>
      <c r="F12" s="142"/>
      <c r="G12" s="30"/>
      <c r="H12" s="30"/>
      <c r="I12" s="30"/>
      <c r="J12" s="30"/>
      <c r="K12" s="30"/>
      <c r="L12" s="30"/>
      <c r="M12" s="148"/>
    </row>
    <row r="13" spans="1:13" ht="11.25">
      <c r="A13" s="140" t="s">
        <v>20</v>
      </c>
      <c r="B13" s="142"/>
      <c r="C13" s="142"/>
      <c r="D13" s="142"/>
      <c r="E13" s="142"/>
      <c r="F13" s="142"/>
      <c r="G13" s="30"/>
      <c r="H13" s="30"/>
      <c r="I13" s="30"/>
      <c r="J13" s="30"/>
      <c r="K13" s="30"/>
      <c r="L13" s="30"/>
      <c r="M13" s="148"/>
    </row>
    <row r="14" spans="1:13" ht="10.5" customHeight="1">
      <c r="A14" s="147" t="s">
        <v>316</v>
      </c>
      <c r="B14" s="142"/>
      <c r="C14" s="142"/>
      <c r="D14" s="142"/>
      <c r="E14" s="152">
        <v>7061</v>
      </c>
      <c r="F14" s="152"/>
      <c r="G14" s="30"/>
      <c r="H14" s="30"/>
      <c r="I14" s="30"/>
      <c r="J14" s="30"/>
      <c r="K14" s="30"/>
      <c r="L14" s="30"/>
      <c r="M14" s="148"/>
    </row>
    <row r="15" spans="1:13" ht="11.25" hidden="1">
      <c r="A15" s="147" t="s">
        <v>259</v>
      </c>
      <c r="B15" s="142"/>
      <c r="C15" s="152">
        <v>1424</v>
      </c>
      <c r="D15" s="152"/>
      <c r="E15" s="152"/>
      <c r="F15" s="152"/>
      <c r="G15" s="30"/>
      <c r="H15" s="30"/>
      <c r="I15" s="30"/>
      <c r="J15" s="30"/>
      <c r="K15" s="30"/>
      <c r="L15" s="30"/>
      <c r="M15" s="148"/>
    </row>
    <row r="16" spans="1:13" ht="11.25">
      <c r="A16" s="147" t="s">
        <v>330</v>
      </c>
      <c r="B16" s="142"/>
      <c r="C16" s="152"/>
      <c r="D16" s="152"/>
      <c r="E16" s="152">
        <v>6386</v>
      </c>
      <c r="F16" s="152"/>
      <c r="G16" s="30"/>
      <c r="H16" s="30"/>
      <c r="I16" s="30"/>
      <c r="J16" s="30"/>
      <c r="K16" s="30"/>
      <c r="L16" s="30"/>
      <c r="M16" s="148"/>
    </row>
    <row r="17" spans="1:14" ht="11.25">
      <c r="A17" s="147" t="s">
        <v>456</v>
      </c>
      <c r="B17" s="142">
        <v>51.11</v>
      </c>
      <c r="C17" s="152"/>
      <c r="D17" s="152"/>
      <c r="E17" s="152"/>
      <c r="F17" s="152"/>
      <c r="G17" s="30"/>
      <c r="H17" s="30"/>
      <c r="I17" s="30"/>
      <c r="J17" s="230">
        <v>77267.1445</v>
      </c>
      <c r="K17" s="230">
        <v>77267.1445</v>
      </c>
      <c r="L17" s="230">
        <v>77267.1445</v>
      </c>
      <c r="M17" s="148"/>
      <c r="N17" s="141" t="s">
        <v>243</v>
      </c>
    </row>
    <row r="18" spans="1:14" ht="11.25">
      <c r="A18" s="147" t="s">
        <v>22</v>
      </c>
      <c r="B18" s="142">
        <v>51.22</v>
      </c>
      <c r="C18" s="152"/>
      <c r="D18" s="152"/>
      <c r="E18" s="152"/>
      <c r="F18" s="152"/>
      <c r="G18" s="30"/>
      <c r="H18" s="30"/>
      <c r="I18" s="30"/>
      <c r="J18" s="230">
        <v>6752.436554249999</v>
      </c>
      <c r="K18" s="230">
        <v>6752.436554249999</v>
      </c>
      <c r="L18" s="230">
        <v>6752.436554249999</v>
      </c>
      <c r="M18" s="148"/>
      <c r="N18" s="141" t="s">
        <v>243</v>
      </c>
    </row>
    <row r="19" spans="1:14" ht="11.25">
      <c r="A19" s="141" t="s">
        <v>457</v>
      </c>
      <c r="B19" s="142"/>
      <c r="C19" s="152"/>
      <c r="D19" s="152"/>
      <c r="E19" s="152"/>
      <c r="F19" s="152"/>
      <c r="G19" s="30"/>
      <c r="H19" s="30"/>
      <c r="I19" s="30"/>
      <c r="J19" s="30">
        <v>11000</v>
      </c>
      <c r="K19" s="30">
        <v>11000</v>
      </c>
      <c r="L19" s="30">
        <v>11000</v>
      </c>
      <c r="M19" s="148"/>
      <c r="N19" s="141" t="s">
        <v>243</v>
      </c>
    </row>
    <row r="20" spans="2:13" ht="11.25">
      <c r="B20" s="142"/>
      <c r="C20" s="152"/>
      <c r="D20" s="152"/>
      <c r="E20" s="152"/>
      <c r="F20" s="152"/>
      <c r="G20" s="30"/>
      <c r="H20" s="30"/>
      <c r="I20" s="30"/>
      <c r="J20" s="30"/>
      <c r="K20" s="30"/>
      <c r="L20" s="30"/>
      <c r="M20" s="148"/>
    </row>
    <row r="21" spans="1:13" ht="11.25">
      <c r="A21" s="147" t="s">
        <v>258</v>
      </c>
      <c r="B21" s="142">
        <v>57.211</v>
      </c>
      <c r="C21" s="152">
        <v>8000</v>
      </c>
      <c r="D21" s="152">
        <v>8000</v>
      </c>
      <c r="E21" s="152">
        <v>8000</v>
      </c>
      <c r="F21" s="152">
        <v>8000</v>
      </c>
      <c r="G21" s="30">
        <v>4000</v>
      </c>
      <c r="H21" s="30"/>
      <c r="I21" s="30">
        <v>8000</v>
      </c>
      <c r="J21" s="30">
        <v>8000</v>
      </c>
      <c r="K21" s="30">
        <v>7600</v>
      </c>
      <c r="L21" s="30">
        <v>7600</v>
      </c>
      <c r="M21" s="148"/>
    </row>
    <row r="22" spans="1:14" ht="11.25">
      <c r="A22" s="147"/>
      <c r="B22" s="142"/>
      <c r="C22" s="142"/>
      <c r="D22" s="142"/>
      <c r="E22" s="142"/>
      <c r="F22" s="142"/>
      <c r="G22" s="30"/>
      <c r="H22" s="30"/>
      <c r="I22" s="30"/>
      <c r="J22" s="30"/>
      <c r="K22" s="30"/>
      <c r="L22" s="30"/>
      <c r="M22" s="148"/>
      <c r="N22" s="13"/>
    </row>
    <row r="23" spans="1:13" ht="11.25">
      <c r="A23" s="147" t="s">
        <v>26</v>
      </c>
      <c r="B23" s="142"/>
      <c r="C23" s="149">
        <f>SUM(C14:C22)</f>
        <v>9424</v>
      </c>
      <c r="D23" s="149">
        <f>SUM(D21:D22)</f>
        <v>8000</v>
      </c>
      <c r="E23" s="149">
        <v>21447</v>
      </c>
      <c r="F23" s="149">
        <v>8000</v>
      </c>
      <c r="G23" s="149">
        <f aca="true" t="shared" si="1" ref="G23:L23">SUM(G14:G22)</f>
        <v>4000</v>
      </c>
      <c r="H23" s="149">
        <f t="shared" si="1"/>
        <v>0</v>
      </c>
      <c r="I23" s="149">
        <f t="shared" si="1"/>
        <v>8000</v>
      </c>
      <c r="J23" s="149">
        <f t="shared" si="1"/>
        <v>103019.58105425</v>
      </c>
      <c r="K23" s="149">
        <f t="shared" si="1"/>
        <v>102619.58105425</v>
      </c>
      <c r="L23" s="149">
        <f t="shared" si="1"/>
        <v>102619.58105425</v>
      </c>
      <c r="M23" s="148">
        <f>(L23-I23)/I23</f>
        <v>11.827447631781249</v>
      </c>
    </row>
    <row r="24" spans="7:9" ht="11.25">
      <c r="G24" s="30"/>
      <c r="H24" s="30"/>
      <c r="I24" s="30"/>
    </row>
    <row r="25" spans="9:11" ht="11.25">
      <c r="I25" s="17" t="s">
        <v>27</v>
      </c>
      <c r="J25" s="17"/>
      <c r="K25" s="150">
        <f>K23-J23</f>
        <v>-400</v>
      </c>
    </row>
    <row r="26" spans="9:11" ht="11.25">
      <c r="I26" s="17" t="s">
        <v>342</v>
      </c>
      <c r="J26" s="17"/>
      <c r="K26" s="150">
        <f>I23-K23</f>
        <v>-94619.58105425</v>
      </c>
    </row>
    <row r="27" spans="9:11" ht="11.25">
      <c r="I27" s="17" t="s">
        <v>28</v>
      </c>
      <c r="J27" s="17"/>
      <c r="K27" s="150">
        <f>L23-K23</f>
        <v>0</v>
      </c>
    </row>
    <row r="29" spans="1:12" ht="11.25">
      <c r="A29" s="140" t="s">
        <v>272</v>
      </c>
      <c r="E29" s="138">
        <v>-16662</v>
      </c>
      <c r="F29" s="138">
        <f aca="true" t="shared" si="2" ref="F29:L29">F10-F23</f>
        <v>-3004</v>
      </c>
      <c r="G29" s="138">
        <f t="shared" si="2"/>
        <v>-4000</v>
      </c>
      <c r="H29" s="138">
        <f t="shared" si="2"/>
        <v>0</v>
      </c>
      <c r="I29" s="138">
        <f t="shared" si="2"/>
        <v>-3000</v>
      </c>
      <c r="J29" s="138">
        <f t="shared" si="2"/>
        <v>-98019.58105425</v>
      </c>
      <c r="K29" s="138">
        <f t="shared" si="2"/>
        <v>-97619.58105425</v>
      </c>
      <c r="L29" s="138">
        <f t="shared" si="2"/>
        <v>-97619.58105425</v>
      </c>
    </row>
    <row r="32" spans="1:6" ht="11.25">
      <c r="A32" s="69" t="s">
        <v>235</v>
      </c>
      <c r="F32" s="138">
        <v>130134</v>
      </c>
    </row>
    <row r="33" spans="1:8" ht="11.25">
      <c r="A33" s="140" t="s">
        <v>280</v>
      </c>
      <c r="F33" s="138">
        <v>121457</v>
      </c>
      <c r="G33" s="157">
        <v>-8677</v>
      </c>
      <c r="H33" s="148">
        <v>-0.0714409214783833</v>
      </c>
    </row>
    <row r="34" spans="1:8" ht="11.25">
      <c r="A34" s="140" t="s">
        <v>319</v>
      </c>
      <c r="F34" s="138">
        <v>113457</v>
      </c>
      <c r="G34" s="157">
        <v>-8000</v>
      </c>
      <c r="H34" s="148">
        <v>-0.07051129502807231</v>
      </c>
    </row>
    <row r="35" spans="1:8" ht="11.25">
      <c r="A35" s="140" t="s">
        <v>362</v>
      </c>
      <c r="F35" s="138">
        <v>96795</v>
      </c>
      <c r="G35" s="157">
        <v>-16662</v>
      </c>
      <c r="H35" s="148">
        <v>-0.17213699054703238</v>
      </c>
    </row>
    <row r="36" spans="1:8" ht="11.25">
      <c r="A36" s="140" t="s">
        <v>428</v>
      </c>
      <c r="F36" s="138">
        <v>93791</v>
      </c>
      <c r="G36" s="157">
        <v>-3004</v>
      </c>
      <c r="H36" s="148">
        <v>-0.03202865946626009</v>
      </c>
    </row>
    <row r="37" spans="1:8" ht="11.25">
      <c r="A37" s="140" t="s">
        <v>365</v>
      </c>
      <c r="F37" s="138">
        <f>F36+I29</f>
        <v>90791</v>
      </c>
      <c r="G37" s="157">
        <f>F37-F36</f>
        <v>-3000</v>
      </c>
      <c r="H37" s="148">
        <f>G37/F37</f>
        <v>-0.0330429227566609</v>
      </c>
    </row>
    <row r="38" spans="1:8" ht="11.25">
      <c r="A38" s="140" t="s">
        <v>407</v>
      </c>
      <c r="F38" s="138">
        <f>F37+L29</f>
        <v>-6828.581054249997</v>
      </c>
      <c r="G38" s="157">
        <f>F38-F37</f>
        <v>-97619.58105425</v>
      </c>
      <c r="H38" s="148">
        <f>G38/F38</f>
        <v>14.295734396166122</v>
      </c>
    </row>
    <row r="40" ht="11.25">
      <c r="A40" s="141" t="s">
        <v>331</v>
      </c>
    </row>
    <row r="41" ht="11.25">
      <c r="A41" s="140" t="s">
        <v>455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8" r:id="rId1"/>
  <headerFooter alignWithMargins="0">
    <oddHeader>&amp;CFY09 Special Revenue Funds</oddHeader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workbookViewId="0" topLeftCell="A1">
      <pane ySplit="780" topLeftCell="BM1" activePane="bottomLeft" state="split"/>
      <selection pane="topLeft" activeCell="F38" sqref="F38"/>
      <selection pane="bottomLeft" activeCell="F38" sqref="F3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1.7109375" style="0" customWidth="1"/>
    <col min="4" max="4" width="9.421875" style="0" bestFit="1" customWidth="1"/>
    <col min="5" max="6" width="11.7109375" style="0" customWidth="1"/>
    <col min="7" max="7" width="10.7109375" style="0" bestFit="1" customWidth="1"/>
    <col min="8" max="8" width="9.28125" style="0" bestFit="1" customWidth="1"/>
    <col min="9" max="9" width="10.7109375" style="0" customWidth="1"/>
  </cols>
  <sheetData>
    <row r="1" spans="1:2" ht="12.75">
      <c r="A1" t="s">
        <v>0</v>
      </c>
      <c r="B1" s="21"/>
    </row>
    <row r="2" ht="12.75">
      <c r="A2" s="1" t="s">
        <v>309</v>
      </c>
    </row>
    <row r="4" spans="3:8" ht="12.75">
      <c r="C4" s="4"/>
      <c r="D4" s="4"/>
      <c r="E4" s="4"/>
      <c r="F4" s="4"/>
      <c r="G4" s="5" t="s">
        <v>4</v>
      </c>
      <c r="H4" s="5" t="s">
        <v>5</v>
      </c>
    </row>
    <row r="5" spans="3:8" ht="12.75">
      <c r="C5" s="4" t="s">
        <v>6</v>
      </c>
      <c r="D5" s="4" t="s">
        <v>6</v>
      </c>
      <c r="E5" s="4" t="s">
        <v>6</v>
      </c>
      <c r="F5" s="4" t="s">
        <v>8</v>
      </c>
      <c r="G5" s="5" t="s">
        <v>10</v>
      </c>
      <c r="H5" s="5" t="s">
        <v>11</v>
      </c>
    </row>
    <row r="6" spans="1:9" ht="13.5" thickBot="1">
      <c r="A6" t="s">
        <v>12</v>
      </c>
      <c r="C6" s="6">
        <v>2005</v>
      </c>
      <c r="D6" s="6">
        <v>2006</v>
      </c>
      <c r="E6" s="6">
        <v>2007</v>
      </c>
      <c r="F6" s="6">
        <v>2008</v>
      </c>
      <c r="G6" s="6">
        <v>2009</v>
      </c>
      <c r="H6" s="6">
        <v>2009</v>
      </c>
      <c r="I6" s="5" t="s">
        <v>13</v>
      </c>
    </row>
    <row r="7" spans="1:8" ht="12.75">
      <c r="A7" s="130" t="s">
        <v>33</v>
      </c>
      <c r="C7" s="10">
        <v>295176</v>
      </c>
      <c r="D7" s="10"/>
      <c r="E7" s="10"/>
      <c r="F7" s="10"/>
      <c r="G7" s="10"/>
      <c r="H7" s="10"/>
    </row>
    <row r="8" spans="1:12" ht="12.75">
      <c r="A8" s="181" t="s">
        <v>350</v>
      </c>
      <c r="B8">
        <v>11.1912</v>
      </c>
      <c r="C8" s="10"/>
      <c r="D8" s="10"/>
      <c r="E8" s="10">
        <v>21006</v>
      </c>
      <c r="F8" s="10"/>
      <c r="G8" s="10"/>
      <c r="H8" s="10"/>
      <c r="J8" s="1"/>
      <c r="K8" s="1"/>
      <c r="L8" s="1"/>
    </row>
    <row r="9" spans="1:8" ht="12.75">
      <c r="A9" s="181" t="s">
        <v>349</v>
      </c>
      <c r="B9" s="9">
        <v>36.101</v>
      </c>
      <c r="C9" s="10"/>
      <c r="D9" s="10">
        <v>7528</v>
      </c>
      <c r="E9" s="10">
        <f>6885+567</f>
        <v>7452</v>
      </c>
      <c r="F9" s="10">
        <v>7500</v>
      </c>
      <c r="G9" s="10">
        <v>7500</v>
      </c>
      <c r="H9" s="10">
        <v>7500</v>
      </c>
    </row>
    <row r="10" spans="1:11" ht="12.75">
      <c r="A10" s="181" t="s">
        <v>347</v>
      </c>
      <c r="B10" s="9">
        <v>36.102</v>
      </c>
      <c r="C10" s="10"/>
      <c r="D10" s="10">
        <v>36</v>
      </c>
      <c r="E10" s="10">
        <v>30</v>
      </c>
      <c r="F10" s="10">
        <v>50</v>
      </c>
      <c r="G10" s="10">
        <v>50</v>
      </c>
      <c r="H10" s="10">
        <v>50</v>
      </c>
      <c r="K10" s="221"/>
    </row>
    <row r="11" spans="1:11" ht="12.75">
      <c r="A11" s="180" t="s">
        <v>348</v>
      </c>
      <c r="B11" s="9">
        <v>36.103</v>
      </c>
      <c r="C11" s="10">
        <v>7577</v>
      </c>
      <c r="D11" s="10">
        <f>1108+186</f>
        <v>1294</v>
      </c>
      <c r="E11" s="10">
        <v>3148</v>
      </c>
      <c r="F11" s="10">
        <v>3000</v>
      </c>
      <c r="G11" s="10">
        <v>3000</v>
      </c>
      <c r="H11" s="10">
        <v>3000</v>
      </c>
      <c r="I11" s="10"/>
      <c r="J11" s="9"/>
      <c r="K11" s="221"/>
    </row>
    <row r="12" spans="1:11" ht="12.75">
      <c r="A12" s="11"/>
      <c r="B12" s="9"/>
      <c r="C12" s="10"/>
      <c r="D12" s="10"/>
      <c r="E12" s="10"/>
      <c r="F12" s="10"/>
      <c r="G12" s="10"/>
      <c r="H12" s="10"/>
      <c r="I12" s="10"/>
      <c r="K12" s="221"/>
    </row>
    <row r="13" spans="2:11" ht="12.75">
      <c r="B13" s="9"/>
      <c r="C13" s="10"/>
      <c r="D13" s="10"/>
      <c r="E13" s="10"/>
      <c r="F13" s="10"/>
      <c r="G13" s="85"/>
      <c r="H13" s="10"/>
      <c r="K13" s="221"/>
    </row>
    <row r="14" spans="1:11" ht="12.75">
      <c r="A14" s="132" t="s">
        <v>19</v>
      </c>
      <c r="B14" s="9"/>
      <c r="C14" s="12">
        <v>302753</v>
      </c>
      <c r="D14" s="12">
        <v>29842</v>
      </c>
      <c r="E14" s="12">
        <v>31631</v>
      </c>
      <c r="F14" s="12">
        <f>SUM(F7:F13)</f>
        <v>10550</v>
      </c>
      <c r="G14" s="12">
        <f>SUM(G7:G13)</f>
        <v>10550</v>
      </c>
      <c r="H14" s="12">
        <f>SUM(H7:H13)</f>
        <v>10550</v>
      </c>
      <c r="K14" s="221"/>
    </row>
    <row r="15" spans="2:8" ht="12.75">
      <c r="B15" s="9"/>
      <c r="C15" s="10"/>
      <c r="D15" s="10"/>
      <c r="E15" s="10"/>
      <c r="F15" s="10"/>
      <c r="G15" s="85"/>
      <c r="H15" s="10"/>
    </row>
    <row r="16" spans="1:8" ht="12.75">
      <c r="A16" s="94" t="s">
        <v>97</v>
      </c>
      <c r="B16" s="9"/>
      <c r="C16" s="10"/>
      <c r="D16" s="10"/>
      <c r="E16" s="10"/>
      <c r="F16" s="10"/>
      <c r="G16" s="10"/>
      <c r="H16" s="10"/>
    </row>
    <row r="17" spans="1:8" ht="12.75">
      <c r="A17" s="180" t="s">
        <v>345</v>
      </c>
      <c r="B17" s="9">
        <v>52.1102</v>
      </c>
      <c r="C17" s="10"/>
      <c r="D17" s="10">
        <v>1255</v>
      </c>
      <c r="E17">
        <f>1180+113</f>
        <v>1293</v>
      </c>
      <c r="F17" s="10">
        <v>1400</v>
      </c>
      <c r="G17" s="10">
        <v>1400</v>
      </c>
      <c r="H17" s="10">
        <v>1400</v>
      </c>
    </row>
    <row r="18" spans="1:8" ht="12.75">
      <c r="A18" s="180" t="s">
        <v>346</v>
      </c>
      <c r="B18" s="9"/>
      <c r="C18" s="10"/>
      <c r="D18" s="10">
        <v>380</v>
      </c>
      <c r="E18" s="10"/>
      <c r="F18" s="10"/>
      <c r="G18" s="10"/>
      <c r="H18" s="10"/>
    </row>
    <row r="19" spans="1:8" ht="12.75">
      <c r="A19" s="11"/>
      <c r="B19" s="9"/>
      <c r="C19" s="10">
        <v>296439</v>
      </c>
      <c r="D19" s="10"/>
      <c r="E19" s="10"/>
      <c r="F19" s="10"/>
      <c r="G19" s="10"/>
      <c r="H19" s="10"/>
    </row>
    <row r="20" spans="3:8" ht="12.75">
      <c r="C20" s="10"/>
      <c r="D20" s="10"/>
      <c r="E20" s="10"/>
      <c r="F20" s="10"/>
      <c r="G20" s="85"/>
      <c r="H20" s="10"/>
    </row>
    <row r="21" spans="1:8" ht="12.75">
      <c r="A21" s="131" t="s">
        <v>103</v>
      </c>
      <c r="B21" s="1"/>
      <c r="C21" s="12">
        <v>296439</v>
      </c>
      <c r="D21" s="12">
        <v>1636</v>
      </c>
      <c r="E21" s="12">
        <v>1293</v>
      </c>
      <c r="F21" s="12">
        <f>SUM(F17:F20)</f>
        <v>1400</v>
      </c>
      <c r="G21" s="12">
        <f>SUM(G17:G20)</f>
        <v>1400</v>
      </c>
      <c r="H21" s="12">
        <f>SUM(H17:H20)</f>
        <v>1400</v>
      </c>
    </row>
    <row r="22" spans="1:8" ht="12.75">
      <c r="A22" s="131"/>
      <c r="B22" s="1"/>
      <c r="C22" s="133"/>
      <c r="D22" s="133"/>
      <c r="E22" s="133"/>
      <c r="F22" s="133"/>
      <c r="G22" s="134"/>
      <c r="H22" s="133"/>
    </row>
    <row r="23" spans="3:8" ht="12.75">
      <c r="C23" s="10"/>
      <c r="D23" s="10"/>
      <c r="E23" s="10"/>
      <c r="F23" s="10"/>
      <c r="G23" s="10"/>
      <c r="H23" s="10"/>
    </row>
    <row r="25" spans="1:9" s="99" customFormat="1" ht="11.25">
      <c r="A25" s="140" t="s">
        <v>273</v>
      </c>
      <c r="B25" s="100"/>
      <c r="C25" s="115">
        <v>6314</v>
      </c>
      <c r="D25" s="115">
        <v>28206</v>
      </c>
      <c r="E25" s="115">
        <f>E14-E21</f>
        <v>30338</v>
      </c>
      <c r="F25" s="115">
        <f>F14-F21</f>
        <v>9150</v>
      </c>
      <c r="G25" s="115">
        <f>G14-G21</f>
        <v>9150</v>
      </c>
      <c r="H25" s="115">
        <f>H14-H21</f>
        <v>9150</v>
      </c>
      <c r="I25" s="127"/>
    </row>
    <row r="27" spans="1:3" ht="12.75">
      <c r="A27" s="69" t="s">
        <v>320</v>
      </c>
      <c r="C27" s="221">
        <v>22453</v>
      </c>
    </row>
    <row r="28" spans="1:3" ht="12.75">
      <c r="A28" s="69" t="s">
        <v>363</v>
      </c>
      <c r="C28" s="182">
        <v>50659</v>
      </c>
    </row>
    <row r="29" spans="1:4" ht="12.75">
      <c r="A29" s="69" t="s">
        <v>429</v>
      </c>
      <c r="C29" s="182">
        <v>80997</v>
      </c>
      <c r="D29" s="182"/>
    </row>
    <row r="30" spans="1:4" ht="12.75">
      <c r="A30" s="69" t="s">
        <v>356</v>
      </c>
      <c r="C30" s="182">
        <f>C29+F25</f>
        <v>90147</v>
      </c>
      <c r="D30" s="182"/>
    </row>
    <row r="31" spans="1:3" ht="12.75">
      <c r="A31" s="69" t="s">
        <v>359</v>
      </c>
      <c r="C31" s="182">
        <f>C30+H25</f>
        <v>99297</v>
      </c>
    </row>
    <row r="32" ht="12.75">
      <c r="A32" s="69" t="s">
        <v>360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&amp;CFY09 Special Revenue Funds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workbookViewId="0" topLeftCell="A1">
      <pane ySplit="780" topLeftCell="BM1" activePane="bottomLeft" state="split"/>
      <selection pane="topLeft" activeCell="F38" sqref="F38"/>
      <selection pane="bottomLeft" activeCell="F38" sqref="F38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28125" style="0" bestFit="1" customWidth="1"/>
    <col min="5" max="5" width="11.7109375" style="0" customWidth="1"/>
    <col min="6" max="6" width="10.7109375" style="0" bestFit="1" customWidth="1"/>
    <col min="7" max="7" width="10.421875" style="0" customWidth="1"/>
    <col min="8" max="8" width="10.7109375" style="0" customWidth="1"/>
    <col min="10" max="10" width="13.28125" style="0" bestFit="1" customWidth="1"/>
  </cols>
  <sheetData>
    <row r="1" spans="1:4" ht="12.75">
      <c r="A1" t="s">
        <v>0</v>
      </c>
      <c r="B1" s="21"/>
      <c r="C1" s="21"/>
      <c r="D1" s="21"/>
    </row>
    <row r="2" ht="12.75">
      <c r="A2" s="1" t="s">
        <v>351</v>
      </c>
    </row>
    <row r="4" spans="5:7" ht="12.75">
      <c r="E4" s="4"/>
      <c r="F4" s="5" t="s">
        <v>4</v>
      </c>
      <c r="G4" s="5" t="s">
        <v>5</v>
      </c>
    </row>
    <row r="5" spans="3:7" ht="12.75">
      <c r="C5" s="4" t="s">
        <v>6</v>
      </c>
      <c r="D5" s="4" t="s">
        <v>6</v>
      </c>
      <c r="E5" s="4" t="s">
        <v>8</v>
      </c>
      <c r="F5" s="5" t="s">
        <v>10</v>
      </c>
      <c r="G5" s="5" t="s">
        <v>11</v>
      </c>
    </row>
    <row r="6" spans="1:8" ht="13.5" thickBot="1">
      <c r="A6" t="s">
        <v>12</v>
      </c>
      <c r="C6" s="6">
        <v>2006</v>
      </c>
      <c r="D6" s="6">
        <v>2007</v>
      </c>
      <c r="E6" s="6">
        <v>2008</v>
      </c>
      <c r="F6" s="6">
        <v>2009</v>
      </c>
      <c r="G6" s="6">
        <v>2009</v>
      </c>
      <c r="H6" s="5" t="s">
        <v>13</v>
      </c>
    </row>
    <row r="7" spans="1:7" ht="12.75">
      <c r="A7" s="130" t="s">
        <v>33</v>
      </c>
      <c r="C7">
        <v>92676</v>
      </c>
      <c r="E7" s="10"/>
      <c r="F7" s="10"/>
      <c r="G7" s="10"/>
    </row>
    <row r="8" spans="1:7" ht="12.75">
      <c r="A8" s="130"/>
      <c r="B8">
        <v>33.4102</v>
      </c>
      <c r="D8">
        <v>2324</v>
      </c>
      <c r="E8" s="10"/>
      <c r="F8">
        <v>2324</v>
      </c>
      <c r="G8">
        <v>2324</v>
      </c>
    </row>
    <row r="9" spans="1:7" ht="12.75">
      <c r="A9" s="181" t="s">
        <v>350</v>
      </c>
      <c r="B9">
        <v>36.1005</v>
      </c>
      <c r="C9">
        <v>716</v>
      </c>
      <c r="D9">
        <v>11639</v>
      </c>
      <c r="E9" s="10"/>
      <c r="F9">
        <v>11639</v>
      </c>
      <c r="G9">
        <v>11639</v>
      </c>
    </row>
    <row r="10" spans="1:12" ht="12.75">
      <c r="A10" s="181" t="s">
        <v>349</v>
      </c>
      <c r="B10" s="9">
        <v>36.101</v>
      </c>
      <c r="C10" s="9"/>
      <c r="D10" s="9"/>
      <c r="E10" s="10"/>
      <c r="F10" s="9"/>
      <c r="G10" s="9"/>
      <c r="J10" s="1"/>
      <c r="K10" s="1"/>
      <c r="L10" s="130"/>
    </row>
    <row r="11" spans="1:12" ht="12.75">
      <c r="A11" s="181" t="s">
        <v>347</v>
      </c>
      <c r="B11" s="9">
        <v>36.102</v>
      </c>
      <c r="C11" s="9"/>
      <c r="D11" s="169">
        <v>26</v>
      </c>
      <c r="E11" s="10"/>
      <c r="F11" s="169">
        <v>26</v>
      </c>
      <c r="G11" s="169">
        <v>26</v>
      </c>
      <c r="L11" s="129"/>
    </row>
    <row r="12" spans="1:12" ht="12.75">
      <c r="A12" s="180" t="s">
        <v>348</v>
      </c>
      <c r="B12" s="9">
        <v>36.103</v>
      </c>
      <c r="C12" s="9"/>
      <c r="D12" s="169">
        <v>44</v>
      </c>
      <c r="E12" s="10"/>
      <c r="F12" s="169">
        <v>44</v>
      </c>
      <c r="G12" s="169">
        <v>44</v>
      </c>
      <c r="H12" s="10"/>
      <c r="K12" s="184"/>
      <c r="L12" s="129"/>
    </row>
    <row r="13" spans="1:12" ht="12.75">
      <c r="A13" s="11"/>
      <c r="B13" s="9">
        <v>36.1105</v>
      </c>
      <c r="C13" s="9"/>
      <c r="D13" s="169">
        <v>1003</v>
      </c>
      <c r="E13" s="10"/>
      <c r="F13" s="169">
        <v>1003</v>
      </c>
      <c r="G13" s="169">
        <v>1003</v>
      </c>
      <c r="H13" s="10"/>
      <c r="L13" s="129"/>
    </row>
    <row r="14" spans="2:12" ht="12.75">
      <c r="B14" s="9"/>
      <c r="C14" s="9"/>
      <c r="D14" s="9"/>
      <c r="E14" s="10"/>
      <c r="F14" s="85"/>
      <c r="G14" s="10"/>
      <c r="L14" s="129"/>
    </row>
    <row r="15" spans="1:12" ht="12.75">
      <c r="A15" s="132" t="s">
        <v>19</v>
      </c>
      <c r="B15" s="9"/>
      <c r="C15" s="12">
        <v>96179</v>
      </c>
      <c r="D15" s="12">
        <v>16553</v>
      </c>
      <c r="E15" s="12"/>
      <c r="F15" s="12">
        <f>SUM(F7:F14)</f>
        <v>15036</v>
      </c>
      <c r="G15" s="12">
        <f>SUM(G7:G14)</f>
        <v>15036</v>
      </c>
      <c r="L15" s="129"/>
    </row>
    <row r="16" spans="2:12" ht="12.75">
      <c r="B16" s="9"/>
      <c r="C16" s="9"/>
      <c r="D16" s="9"/>
      <c r="E16" s="10"/>
      <c r="F16" s="85"/>
      <c r="G16" s="10"/>
      <c r="K16" s="184"/>
      <c r="L16" s="129"/>
    </row>
    <row r="17" spans="1:7" ht="12.75">
      <c r="A17" s="94" t="s">
        <v>97</v>
      </c>
      <c r="B17" s="9"/>
      <c r="C17" s="169">
        <v>89300</v>
      </c>
      <c r="D17" s="9"/>
      <c r="E17" s="10"/>
      <c r="F17" s="10"/>
      <c r="G17" s="10"/>
    </row>
    <row r="18" spans="1:7" ht="12.75">
      <c r="A18" s="180" t="s">
        <v>345</v>
      </c>
      <c r="B18" s="9">
        <v>52.1102</v>
      </c>
      <c r="C18" s="169">
        <v>3376</v>
      </c>
      <c r="D18" s="169">
        <v>2324</v>
      </c>
      <c r="E18" s="10"/>
      <c r="F18" s="169">
        <v>2324</v>
      </c>
      <c r="G18" s="169">
        <v>2324</v>
      </c>
    </row>
    <row r="19" spans="1:7" ht="12.75">
      <c r="A19" s="180" t="s">
        <v>361</v>
      </c>
      <c r="B19" s="9">
        <v>53.1104</v>
      </c>
      <c r="C19" s="169">
        <v>239</v>
      </c>
      <c r="D19" s="169">
        <f>88+781</f>
        <v>869</v>
      </c>
      <c r="E19" s="10">
        <v>800</v>
      </c>
      <c r="F19" s="169">
        <f>88+781</f>
        <v>869</v>
      </c>
      <c r="G19" s="169">
        <f>88+781</f>
        <v>869</v>
      </c>
    </row>
    <row r="20" spans="1:7" ht="12.75">
      <c r="A20" s="180" t="s">
        <v>346</v>
      </c>
      <c r="B20" s="9"/>
      <c r="C20" s="9"/>
      <c r="D20" s="9"/>
      <c r="E20" s="10"/>
      <c r="F20" s="10"/>
      <c r="G20" s="10"/>
    </row>
    <row r="21" spans="1:7" ht="12.75">
      <c r="A21" s="11"/>
      <c r="B21" s="9"/>
      <c r="C21" s="9"/>
      <c r="D21" s="9"/>
      <c r="E21" s="10"/>
      <c r="F21" s="10"/>
      <c r="G21" s="10"/>
    </row>
    <row r="22" spans="5:7" ht="12.75">
      <c r="E22" s="10"/>
      <c r="F22" s="85"/>
      <c r="G22" s="10"/>
    </row>
    <row r="23" spans="1:7" ht="12.75">
      <c r="A23" s="131" t="s">
        <v>103</v>
      </c>
      <c r="B23" s="1"/>
      <c r="C23" s="12">
        <v>92915</v>
      </c>
      <c r="D23" s="12">
        <f>SUM(D17:D22)</f>
        <v>3193</v>
      </c>
      <c r="E23" s="12">
        <f>SUM(E17:E22)</f>
        <v>800</v>
      </c>
      <c r="F23" s="12">
        <f>SUM(F17:F22)</f>
        <v>3193</v>
      </c>
      <c r="G23" s="12">
        <f>SUM(G17:G22)</f>
        <v>3193</v>
      </c>
    </row>
    <row r="24" spans="1:7" ht="12.75">
      <c r="A24" s="131"/>
      <c r="B24" s="1"/>
      <c r="C24" s="1"/>
      <c r="D24" s="1"/>
      <c r="E24" s="133"/>
      <c r="F24" s="134"/>
      <c r="G24" s="133"/>
    </row>
    <row r="25" spans="5:7" ht="12.75">
      <c r="E25" s="10"/>
      <c r="F25" s="10"/>
      <c r="G25" s="10"/>
    </row>
    <row r="27" spans="1:8" s="99" customFormat="1" ht="11.25">
      <c r="A27" s="140" t="s">
        <v>273</v>
      </c>
      <c r="B27" s="100"/>
      <c r="C27" s="115">
        <v>3264</v>
      </c>
      <c r="D27" s="115">
        <f>D15-D23</f>
        <v>13360</v>
      </c>
      <c r="E27" s="115">
        <f>E15-E23</f>
        <v>-800</v>
      </c>
      <c r="F27" s="115">
        <f>F15-F23</f>
        <v>11843</v>
      </c>
      <c r="G27" s="115">
        <f>G15-G23</f>
        <v>11843</v>
      </c>
      <c r="H27" s="127"/>
    </row>
    <row r="30" spans="1:5" ht="12.75">
      <c r="A30" s="69"/>
      <c r="E30" s="182"/>
    </row>
    <row r="31" spans="1:3" ht="12.75">
      <c r="A31" s="69" t="s">
        <v>363</v>
      </c>
      <c r="C31" s="182">
        <v>3264</v>
      </c>
    </row>
    <row r="32" spans="1:3" ht="12.75">
      <c r="A32" s="69" t="s">
        <v>429</v>
      </c>
      <c r="C32" s="182">
        <v>16624</v>
      </c>
    </row>
    <row r="33" spans="1:3" ht="12.75">
      <c r="A33" s="69" t="s">
        <v>356</v>
      </c>
      <c r="C33" s="182">
        <f>C32+D27</f>
        <v>29984</v>
      </c>
    </row>
    <row r="34" spans="1:3" ht="12.75">
      <c r="A34" s="69" t="s">
        <v>359</v>
      </c>
      <c r="C34" s="182">
        <f>C33+F27</f>
        <v>41827</v>
      </c>
    </row>
    <row r="35" ht="12.75">
      <c r="A35" s="69" t="s">
        <v>360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&amp;CFY09 Special Revenue Funds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"/>
  <sheetViews>
    <sheetView workbookViewId="0" topLeftCell="A1">
      <selection activeCell="I22" sqref="I22"/>
    </sheetView>
  </sheetViews>
  <sheetFormatPr defaultColWidth="9.140625" defaultRowHeight="12.75"/>
  <cols>
    <col min="1" max="1" width="23.28125" style="14" customWidth="1"/>
    <col min="2" max="16384" width="9.140625" style="14" customWidth="1"/>
  </cols>
  <sheetData>
    <row r="2" spans="1:2" ht="12.75">
      <c r="A2" s="14" t="s">
        <v>464</v>
      </c>
      <c r="B2" s="232" t="s">
        <v>469</v>
      </c>
    </row>
    <row r="3" spans="1:2" s="231" customFormat="1" ht="13.5" customHeight="1">
      <c r="A3" s="233" t="s">
        <v>465</v>
      </c>
      <c r="B3" s="234" t="s">
        <v>8</v>
      </c>
    </row>
    <row r="4" spans="1:2" ht="12.75">
      <c r="A4" s="235" t="s">
        <v>466</v>
      </c>
      <c r="B4" s="236">
        <v>0</v>
      </c>
    </row>
    <row r="5" spans="1:2" ht="12.75">
      <c r="A5" s="237" t="s">
        <v>467</v>
      </c>
      <c r="B5" s="238">
        <v>16833</v>
      </c>
    </row>
    <row r="6" spans="1:2" ht="12.75">
      <c r="A6" s="237" t="s">
        <v>468</v>
      </c>
      <c r="B6" s="238">
        <v>336918.76</v>
      </c>
    </row>
    <row r="7" ht="12.75">
      <c r="A7" s="239"/>
    </row>
    <row r="8" ht="12.75">
      <c r="B8" s="238"/>
    </row>
    <row r="9" ht="12.75">
      <c r="A9" s="14" t="s">
        <v>470</v>
      </c>
    </row>
    <row r="10" ht="12.75">
      <c r="A10" s="14" t="s">
        <v>471</v>
      </c>
    </row>
  </sheetData>
  <printOptions gridLines="1" horizontalCentered="1"/>
  <pageMargins left="0.25" right="0.25" top="1" bottom="1" header="0.5" footer="0.5"/>
  <pageSetup fitToHeight="1" fitToWidth="1" horizontalDpi="300" verticalDpi="300" orientation="landscape" r:id="rId1"/>
  <headerFooter alignWithMargins="0">
    <oddHeader xml:space="preserve">&amp;C&amp;16SPLOST II FY09 Budget </oddHeader>
    <oddFooter>&amp;CPage &amp;P of &amp;N&amp;RPrint Date: &amp;D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G26" sqref="G26"/>
    </sheetView>
  </sheetViews>
  <sheetFormatPr defaultColWidth="9.140625" defaultRowHeight="12.75"/>
  <cols>
    <col min="1" max="1" width="27.28125" style="0" bestFit="1" customWidth="1"/>
    <col min="2" max="2" width="15.421875" style="0" bestFit="1" customWidth="1"/>
  </cols>
  <sheetData>
    <row r="1" spans="1:2" ht="12.75">
      <c r="A1" t="s">
        <v>472</v>
      </c>
      <c r="B1" t="s">
        <v>8</v>
      </c>
    </row>
    <row r="2" ht="12.75">
      <c r="B2" t="s">
        <v>473</v>
      </c>
    </row>
    <row r="3" ht="12.75">
      <c r="A3" s="1" t="s">
        <v>189</v>
      </c>
    </row>
    <row r="4" spans="1:2" ht="12.75">
      <c r="A4" t="s">
        <v>474</v>
      </c>
      <c r="B4" s="221">
        <v>2947061.1904999996</v>
      </c>
    </row>
    <row r="6" ht="12.75">
      <c r="A6" s="1" t="s">
        <v>475</v>
      </c>
    </row>
    <row r="7" spans="1:3" ht="12.75">
      <c r="A7" t="s">
        <v>264</v>
      </c>
      <c r="B7" s="221">
        <v>402000</v>
      </c>
      <c r="C7" t="s">
        <v>490</v>
      </c>
    </row>
    <row r="8" spans="1:3" ht="12.75">
      <c r="A8" t="s">
        <v>476</v>
      </c>
      <c r="B8" s="221"/>
      <c r="C8" t="s">
        <v>487</v>
      </c>
    </row>
    <row r="9" ht="12.75">
      <c r="B9" s="221"/>
    </row>
    <row r="10" spans="1:2" ht="12.75">
      <c r="A10" t="s">
        <v>477</v>
      </c>
      <c r="B10" s="221">
        <v>1000000</v>
      </c>
    </row>
    <row r="11" ht="12.75">
      <c r="B11" s="221"/>
    </row>
    <row r="12" spans="1:2" ht="12.75">
      <c r="A12" t="s">
        <v>478</v>
      </c>
      <c r="B12" s="221"/>
    </row>
    <row r="13" spans="1:2" ht="12.75">
      <c r="A13" t="s">
        <v>479</v>
      </c>
      <c r="B13" s="221">
        <v>600000</v>
      </c>
    </row>
    <row r="14" spans="1:2" ht="12.75">
      <c r="A14" t="s">
        <v>480</v>
      </c>
      <c r="B14" s="221">
        <v>200000</v>
      </c>
    </row>
    <row r="15" spans="1:2" ht="12.75">
      <c r="A15" t="s">
        <v>481</v>
      </c>
      <c r="B15" s="221">
        <v>200000</v>
      </c>
    </row>
    <row r="16" spans="1:2" ht="12.75">
      <c r="A16" t="s">
        <v>482</v>
      </c>
      <c r="B16" s="221">
        <v>200000</v>
      </c>
    </row>
    <row r="17" ht="12.75">
      <c r="B17" s="221"/>
    </row>
    <row r="18" spans="1:2" ht="12.75">
      <c r="A18" t="s">
        <v>489</v>
      </c>
      <c r="B18" s="221"/>
    </row>
    <row r="19" spans="1:2" ht="12.75">
      <c r="A19" t="s">
        <v>483</v>
      </c>
      <c r="B19" s="221">
        <v>1000000</v>
      </c>
    </row>
    <row r="20" spans="1:2" ht="12.75">
      <c r="A20" t="s">
        <v>484</v>
      </c>
      <c r="B20" s="221">
        <v>200000</v>
      </c>
    </row>
    <row r="21" ht="12.75">
      <c r="B21" s="221"/>
    </row>
    <row r="22" spans="1:2" ht="12.75">
      <c r="A22" t="s">
        <v>488</v>
      </c>
      <c r="B22" s="221"/>
    </row>
    <row r="23" spans="1:2" ht="12.75">
      <c r="A23" t="s">
        <v>485</v>
      </c>
      <c r="B23" s="221">
        <v>50000</v>
      </c>
    </row>
    <row r="24" spans="1:2" ht="12.75">
      <c r="A24" t="s">
        <v>486</v>
      </c>
      <c r="B24" s="221">
        <v>28150</v>
      </c>
    </row>
    <row r="25" ht="12.75">
      <c r="B25" s="221"/>
    </row>
    <row r="26" ht="12.75">
      <c r="B26" s="221"/>
    </row>
    <row r="27" ht="12.75">
      <c r="B27" s="221"/>
    </row>
    <row r="28" ht="12.75">
      <c r="B28" s="221"/>
    </row>
    <row r="29" ht="12.75">
      <c r="B29" s="221"/>
    </row>
    <row r="30" ht="12.75">
      <c r="B30" s="22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&amp;CFY09 SPLOST III Budget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2"/>
  <sheetViews>
    <sheetView tabSelected="1" workbookViewId="0" topLeftCell="A1">
      <pane ySplit="1545" topLeftCell="BM1" activePane="bottomLeft" state="split"/>
      <selection pane="topLeft" activeCell="F38" sqref="F38"/>
      <selection pane="bottomLeft" activeCell="I117" sqref="I117"/>
    </sheetView>
  </sheetViews>
  <sheetFormatPr defaultColWidth="9.140625" defaultRowHeight="12.75"/>
  <cols>
    <col min="1" max="1" width="34.00390625" style="164" customWidth="1"/>
    <col min="2" max="2" width="7.140625" style="185" bestFit="1" customWidth="1"/>
    <col min="3" max="3" width="10.57421875" style="164" hidden="1" customWidth="1"/>
    <col min="4" max="4" width="9.140625" style="164" hidden="1" customWidth="1"/>
    <col min="5" max="5" width="10.28125" style="164" hidden="1" customWidth="1"/>
    <col min="6" max="6" width="13.421875" style="164" hidden="1" customWidth="1"/>
    <col min="7" max="7" width="15.00390625" style="164" hidden="1" customWidth="1"/>
    <col min="8" max="8" width="8.421875" style="164" hidden="1" customWidth="1"/>
    <col min="9" max="9" width="8.421875" style="164" bestFit="1" customWidth="1"/>
    <col min="10" max="10" width="9.00390625" style="164" bestFit="1" customWidth="1"/>
    <col min="11" max="11" width="8.421875" style="164" bestFit="1" customWidth="1"/>
    <col min="12" max="12" width="7.7109375" style="164" bestFit="1" customWidth="1"/>
    <col min="13" max="14" width="8.421875" style="164" bestFit="1" customWidth="1"/>
    <col min="15" max="15" width="10.57421875" style="164" bestFit="1" customWidth="1"/>
    <col min="16" max="17" width="11.28125" style="164" bestFit="1" customWidth="1"/>
    <col min="18" max="18" width="8.00390625" style="127" customWidth="1"/>
    <col min="19" max="19" width="18.7109375" style="164" customWidth="1"/>
    <col min="20" max="20" width="9.140625" style="159" customWidth="1"/>
    <col min="21" max="21" width="10.28125" style="221" bestFit="1" customWidth="1"/>
    <col min="22" max="16384" width="9.140625" style="159" customWidth="1"/>
  </cols>
  <sheetData>
    <row r="1" spans="1:2" ht="12.75">
      <c r="A1" s="164" t="s">
        <v>0</v>
      </c>
      <c r="B1" s="21"/>
    </row>
    <row r="2" spans="1:13" ht="12.75">
      <c r="A2" s="161" t="s">
        <v>304</v>
      </c>
      <c r="L2" s="186">
        <v>6</v>
      </c>
      <c r="M2" s="187"/>
    </row>
    <row r="3" spans="4:18" ht="12.75">
      <c r="D3" s="188"/>
      <c r="E3" s="188"/>
      <c r="F3" s="188"/>
      <c r="G3" s="188"/>
      <c r="H3" s="188"/>
      <c r="I3" s="188"/>
      <c r="J3" s="188"/>
      <c r="K3" s="188"/>
      <c r="L3" s="187" t="s">
        <v>2</v>
      </c>
      <c r="M3" s="187"/>
      <c r="N3" s="188"/>
      <c r="O3" s="187" t="s">
        <v>369</v>
      </c>
      <c r="P3" s="187" t="s">
        <v>371</v>
      </c>
      <c r="Q3" s="187" t="s">
        <v>373</v>
      </c>
      <c r="R3" s="170" t="s">
        <v>84</v>
      </c>
    </row>
    <row r="4" spans="3:18" ht="12.75">
      <c r="C4" s="188" t="s">
        <v>29</v>
      </c>
      <c r="D4" s="188" t="s">
        <v>6</v>
      </c>
      <c r="E4" s="188" t="s">
        <v>6</v>
      </c>
      <c r="F4" s="188" t="s">
        <v>6</v>
      </c>
      <c r="G4" s="188" t="s">
        <v>6</v>
      </c>
      <c r="H4" s="188" t="s">
        <v>6</v>
      </c>
      <c r="I4" s="188" t="s">
        <v>6</v>
      </c>
      <c r="J4" s="188" t="s">
        <v>6</v>
      </c>
      <c r="K4" s="188" t="s">
        <v>6</v>
      </c>
      <c r="L4" s="188" t="s">
        <v>6</v>
      </c>
      <c r="M4" s="188" t="s">
        <v>77</v>
      </c>
      <c r="N4" s="188" t="s">
        <v>8</v>
      </c>
      <c r="O4" s="187" t="s">
        <v>370</v>
      </c>
      <c r="P4" s="187" t="s">
        <v>372</v>
      </c>
      <c r="Q4" s="187" t="s">
        <v>83</v>
      </c>
      <c r="R4" s="170" t="s">
        <v>85</v>
      </c>
    </row>
    <row r="5" spans="3:18" ht="13.5" thickBot="1">
      <c r="C5" s="188" t="s">
        <v>30</v>
      </c>
      <c r="D5" s="189">
        <v>2000</v>
      </c>
      <c r="E5" s="189">
        <v>2001</v>
      </c>
      <c r="F5" s="189">
        <v>2002</v>
      </c>
      <c r="G5" s="189">
        <v>2003</v>
      </c>
      <c r="H5" s="189">
        <v>2004</v>
      </c>
      <c r="I5" s="189">
        <v>2005</v>
      </c>
      <c r="J5" s="189">
        <v>2006</v>
      </c>
      <c r="K5" s="189">
        <v>2007</v>
      </c>
      <c r="L5" s="145">
        <v>2008</v>
      </c>
      <c r="M5" s="145">
        <v>2008</v>
      </c>
      <c r="N5" s="145">
        <v>2008</v>
      </c>
      <c r="O5" s="145">
        <v>2009</v>
      </c>
      <c r="P5" s="145">
        <v>2009</v>
      </c>
      <c r="Q5" s="145">
        <v>2009</v>
      </c>
      <c r="R5" s="19" t="s">
        <v>406</v>
      </c>
    </row>
    <row r="6" spans="1:19" ht="12.75">
      <c r="A6" s="190" t="s">
        <v>189</v>
      </c>
      <c r="C6" s="188">
        <v>1999</v>
      </c>
      <c r="R6" s="96"/>
      <c r="S6" s="187"/>
    </row>
    <row r="7" spans="1:18" ht="12" customHeight="1">
      <c r="A7" s="191" t="s">
        <v>163</v>
      </c>
      <c r="B7" s="185">
        <v>33.41</v>
      </c>
      <c r="F7" s="164">
        <v>39604</v>
      </c>
      <c r="G7" s="164">
        <v>97426</v>
      </c>
      <c r="I7" s="164">
        <v>4176</v>
      </c>
      <c r="K7" s="164">
        <v>55005</v>
      </c>
      <c r="R7" s="96"/>
    </row>
    <row r="8" spans="1:18" ht="12.75" hidden="1">
      <c r="A8" s="191" t="s">
        <v>164</v>
      </c>
      <c r="B8" s="185">
        <v>33.411</v>
      </c>
      <c r="F8" s="164">
        <v>29796</v>
      </c>
      <c r="R8" s="96"/>
    </row>
    <row r="9" spans="1:19" ht="12" customHeight="1">
      <c r="A9" s="191" t="s">
        <v>165</v>
      </c>
      <c r="B9" s="185">
        <v>34.411</v>
      </c>
      <c r="D9" s="164">
        <v>480076</v>
      </c>
      <c r="E9" s="164">
        <v>483294</v>
      </c>
      <c r="F9" s="164">
        <v>534564</v>
      </c>
      <c r="G9" s="164">
        <v>556537</v>
      </c>
      <c r="H9" s="164">
        <f>512705+96126</f>
        <v>608831</v>
      </c>
      <c r="I9" s="164">
        <v>595962</v>
      </c>
      <c r="J9" s="164">
        <v>607696</v>
      </c>
      <c r="K9" s="164">
        <v>892284</v>
      </c>
      <c r="L9" s="30">
        <v>333782</v>
      </c>
      <c r="M9" s="164">
        <f>+L9/$L$2*12</f>
        <v>667564</v>
      </c>
      <c r="N9" s="164">
        <v>650000</v>
      </c>
      <c r="O9" s="164">
        <v>650000</v>
      </c>
      <c r="P9" s="164">
        <v>650000</v>
      </c>
      <c r="Q9" s="164">
        <v>650000</v>
      </c>
      <c r="R9" s="96">
        <f>(Q9-N9)/N9</f>
        <v>0</v>
      </c>
      <c r="S9" s="160" t="s">
        <v>239</v>
      </c>
    </row>
    <row r="10" spans="1:19" ht="12.75" hidden="1">
      <c r="A10" s="191" t="s">
        <v>232</v>
      </c>
      <c r="C10" s="164">
        <v>461745</v>
      </c>
      <c r="F10" s="164">
        <v>49500</v>
      </c>
      <c r="M10" s="164">
        <f>+L10/$L$2*12</f>
        <v>0</v>
      </c>
      <c r="R10" s="96"/>
      <c r="S10" s="141"/>
    </row>
    <row r="11" spans="1:19" ht="12.75">
      <c r="A11" s="191" t="s">
        <v>366</v>
      </c>
      <c r="B11" s="185">
        <v>34.412</v>
      </c>
      <c r="K11" s="164">
        <v>4070</v>
      </c>
      <c r="L11" s="164">
        <v>1660</v>
      </c>
      <c r="M11" s="164">
        <f>+L11/$L$2*12</f>
        <v>3320</v>
      </c>
      <c r="N11" s="164">
        <v>1500</v>
      </c>
      <c r="O11" s="164">
        <v>3300</v>
      </c>
      <c r="P11" s="164">
        <v>3300</v>
      </c>
      <c r="Q11" s="164">
        <v>3300</v>
      </c>
      <c r="R11" s="96"/>
      <c r="S11" s="141"/>
    </row>
    <row r="12" spans="1:19" ht="12.75">
      <c r="A12" s="191" t="s">
        <v>163</v>
      </c>
      <c r="B12" s="185">
        <v>33.4123</v>
      </c>
      <c r="K12" s="179">
        <v>12880.54</v>
      </c>
      <c r="R12" s="96"/>
      <c r="S12" s="141"/>
    </row>
    <row r="13" spans="1:19" ht="12.75">
      <c r="A13" s="191" t="s">
        <v>166</v>
      </c>
      <c r="B13" s="185">
        <v>34.413</v>
      </c>
      <c r="D13" s="164">
        <v>39342</v>
      </c>
      <c r="E13" s="164">
        <v>27037</v>
      </c>
      <c r="F13" s="164">
        <v>35354</v>
      </c>
      <c r="G13" s="164">
        <v>33763</v>
      </c>
      <c r="H13" s="164">
        <v>52118</v>
      </c>
      <c r="I13" s="164">
        <v>39785</v>
      </c>
      <c r="J13" s="164">
        <v>41936</v>
      </c>
      <c r="K13" s="164">
        <v>54379</v>
      </c>
      <c r="L13" s="164">
        <v>43003</v>
      </c>
      <c r="M13" s="164">
        <f>+L13/$L$2*12</f>
        <v>86006</v>
      </c>
      <c r="N13" s="164">
        <v>40000</v>
      </c>
      <c r="O13" s="164">
        <v>55000</v>
      </c>
      <c r="P13" s="164">
        <v>55000</v>
      </c>
      <c r="Q13" s="164">
        <v>55000</v>
      </c>
      <c r="R13" s="96">
        <f>(Q13-N13)/N13</f>
        <v>0.375</v>
      </c>
      <c r="S13" s="141"/>
    </row>
    <row r="14" spans="1:19" ht="12.75" hidden="1">
      <c r="A14" s="191" t="s">
        <v>190</v>
      </c>
      <c r="B14" s="185">
        <v>34.4192</v>
      </c>
      <c r="C14" s="164">
        <v>27251</v>
      </c>
      <c r="F14" s="164">
        <v>185</v>
      </c>
      <c r="G14" s="164">
        <v>70</v>
      </c>
      <c r="M14" s="164">
        <f aca="true" t="shared" si="0" ref="M14:M28">+L14/$L$2*12</f>
        <v>0</v>
      </c>
      <c r="R14" s="96"/>
      <c r="S14" s="141"/>
    </row>
    <row r="15" spans="1:18" ht="15" customHeight="1">
      <c r="A15" s="191" t="s">
        <v>167</v>
      </c>
      <c r="B15" s="185">
        <v>34.4193</v>
      </c>
      <c r="F15" s="164">
        <v>264</v>
      </c>
      <c r="G15" s="164">
        <v>308</v>
      </c>
      <c r="I15" s="164">
        <v>386</v>
      </c>
      <c r="M15" s="164">
        <f t="shared" si="0"/>
        <v>0</v>
      </c>
      <c r="R15" s="96"/>
    </row>
    <row r="16" spans="1:21" ht="12.75">
      <c r="A16" s="191" t="s">
        <v>439</v>
      </c>
      <c r="B16" s="185">
        <v>34.4191</v>
      </c>
      <c r="L16" s="164">
        <v>25</v>
      </c>
      <c r="R16" s="96"/>
      <c r="S16" s="141"/>
      <c r="U16" s="85"/>
    </row>
    <row r="17" spans="1:19" ht="12.75">
      <c r="A17" s="191" t="s">
        <v>168</v>
      </c>
      <c r="B17" s="185">
        <v>34.4194</v>
      </c>
      <c r="E17" s="164">
        <v>372</v>
      </c>
      <c r="F17" s="164">
        <v>769</v>
      </c>
      <c r="G17" s="164">
        <v>279</v>
      </c>
      <c r="H17" s="164">
        <v>186</v>
      </c>
      <c r="I17" s="164">
        <v>370</v>
      </c>
      <c r="J17" s="164">
        <v>186</v>
      </c>
      <c r="L17" s="152"/>
      <c r="M17" s="164">
        <f t="shared" si="0"/>
        <v>0</v>
      </c>
      <c r="R17" s="96"/>
      <c r="S17" s="141"/>
    </row>
    <row r="18" spans="1:19" ht="12.75" hidden="1">
      <c r="A18" s="191" t="s">
        <v>233</v>
      </c>
      <c r="B18" s="185">
        <v>34.4195</v>
      </c>
      <c r="G18" s="164">
        <v>186</v>
      </c>
      <c r="M18" s="164">
        <f t="shared" si="0"/>
        <v>0</v>
      </c>
      <c r="R18" s="96"/>
      <c r="S18" s="141"/>
    </row>
    <row r="19" spans="1:19" ht="12.75" hidden="1">
      <c r="A19" s="191" t="s">
        <v>169</v>
      </c>
      <c r="B19" s="185">
        <v>34.4196</v>
      </c>
      <c r="D19" s="164">
        <v>1866</v>
      </c>
      <c r="E19" s="164">
        <v>2322</v>
      </c>
      <c r="F19" s="164">
        <v>1765</v>
      </c>
      <c r="M19" s="164">
        <f t="shared" si="0"/>
        <v>0</v>
      </c>
      <c r="R19" s="96"/>
      <c r="S19" s="141"/>
    </row>
    <row r="20" spans="1:19" ht="12.75">
      <c r="A20" s="191" t="s">
        <v>170</v>
      </c>
      <c r="B20" s="185">
        <v>34.4198</v>
      </c>
      <c r="C20" s="164">
        <v>2162</v>
      </c>
      <c r="D20" s="164">
        <v>12421</v>
      </c>
      <c r="E20" s="164">
        <v>13833</v>
      </c>
      <c r="F20" s="164">
        <v>14570</v>
      </c>
      <c r="G20" s="164">
        <v>14564</v>
      </c>
      <c r="H20" s="164">
        <v>14770</v>
      </c>
      <c r="I20" s="164">
        <v>15714</v>
      </c>
      <c r="J20" s="164">
        <v>16934</v>
      </c>
      <c r="K20" s="164">
        <v>16485</v>
      </c>
      <c r="L20" s="164">
        <v>7704</v>
      </c>
      <c r="M20" s="164">
        <f t="shared" si="0"/>
        <v>15408</v>
      </c>
      <c r="N20" s="164">
        <v>16500</v>
      </c>
      <c r="O20" s="164">
        <v>16000</v>
      </c>
      <c r="P20" s="164">
        <v>16000</v>
      </c>
      <c r="Q20" s="164">
        <v>16000</v>
      </c>
      <c r="R20" s="96">
        <f aca="true" t="shared" si="1" ref="R20:R27">(Q20-N20)/N20</f>
        <v>-0.030303030303030304</v>
      </c>
      <c r="S20" s="141"/>
    </row>
    <row r="21" spans="1:19" ht="12.75">
      <c r="A21" s="191" t="s">
        <v>171</v>
      </c>
      <c r="B21" s="185">
        <v>34.42</v>
      </c>
      <c r="C21" s="164">
        <v>12192</v>
      </c>
      <c r="D21" s="164">
        <v>10937</v>
      </c>
      <c r="E21" s="164">
        <v>11859</v>
      </c>
      <c r="F21" s="164">
        <v>12302</v>
      </c>
      <c r="G21" s="164">
        <v>12779</v>
      </c>
      <c r="H21" s="164">
        <v>13866</v>
      </c>
      <c r="I21" s="164">
        <v>14791</v>
      </c>
      <c r="J21" s="164">
        <v>14701</v>
      </c>
      <c r="K21" s="164">
        <v>14817</v>
      </c>
      <c r="L21" s="164">
        <v>6915</v>
      </c>
      <c r="M21" s="164">
        <f t="shared" si="0"/>
        <v>13830</v>
      </c>
      <c r="N21" s="164">
        <v>14700</v>
      </c>
      <c r="O21" s="164">
        <v>14000</v>
      </c>
      <c r="P21" s="164">
        <v>14000</v>
      </c>
      <c r="Q21" s="164">
        <v>14000</v>
      </c>
      <c r="R21" s="96">
        <f t="shared" si="1"/>
        <v>-0.047619047619047616</v>
      </c>
      <c r="S21" s="141"/>
    </row>
    <row r="22" spans="1:19" ht="12.75">
      <c r="A22" s="191" t="s">
        <v>172</v>
      </c>
      <c r="B22" s="185">
        <v>34.4202</v>
      </c>
      <c r="C22" s="164">
        <v>10698</v>
      </c>
      <c r="D22" s="164">
        <v>20456</v>
      </c>
      <c r="E22" s="164">
        <v>22580</v>
      </c>
      <c r="F22" s="164">
        <v>24716</v>
      </c>
      <c r="G22" s="164">
        <v>29063</v>
      </c>
      <c r="H22" s="164">
        <v>31925</v>
      </c>
      <c r="I22" s="164">
        <v>35674</v>
      </c>
      <c r="J22" s="164">
        <v>38153</v>
      </c>
      <c r="K22" s="164">
        <v>39246</v>
      </c>
      <c r="L22" s="152">
        <v>18620</v>
      </c>
      <c r="M22" s="164">
        <f t="shared" si="0"/>
        <v>37240</v>
      </c>
      <c r="N22" s="164">
        <v>36500</v>
      </c>
      <c r="O22" s="164">
        <v>37000</v>
      </c>
      <c r="P22" s="164">
        <v>37000</v>
      </c>
      <c r="Q22" s="164">
        <v>37000</v>
      </c>
      <c r="R22" s="96">
        <f t="shared" si="1"/>
        <v>0.0136986301369863</v>
      </c>
      <c r="S22" s="141" t="s">
        <v>201</v>
      </c>
    </row>
    <row r="23" spans="1:19" ht="12.75">
      <c r="A23" s="191" t="s">
        <v>173</v>
      </c>
      <c r="B23" s="185">
        <v>34.4204</v>
      </c>
      <c r="C23" s="164">
        <v>17809</v>
      </c>
      <c r="D23" s="164">
        <v>4407</v>
      </c>
      <c r="E23" s="164">
        <v>5039</v>
      </c>
      <c r="F23" s="164">
        <v>5002</v>
      </c>
      <c r="G23" s="164">
        <v>5632</v>
      </c>
      <c r="H23" s="164">
        <v>6212</v>
      </c>
      <c r="I23" s="164">
        <v>6856</v>
      </c>
      <c r="J23" s="164">
        <v>6739</v>
      </c>
      <c r="K23" s="164">
        <v>6994</v>
      </c>
      <c r="L23" s="152">
        <v>3388</v>
      </c>
      <c r="M23" s="164">
        <f t="shared" si="0"/>
        <v>6776</v>
      </c>
      <c r="N23" s="164">
        <v>6500</v>
      </c>
      <c r="O23" s="164">
        <v>7000</v>
      </c>
      <c r="P23" s="164">
        <v>7000</v>
      </c>
      <c r="Q23" s="164">
        <v>7000</v>
      </c>
      <c r="R23" s="96">
        <f t="shared" si="1"/>
        <v>0.07692307692307693</v>
      </c>
      <c r="S23" s="141"/>
    </row>
    <row r="24" spans="1:19" ht="12.75">
      <c r="A24" s="191" t="s">
        <v>174</v>
      </c>
      <c r="B24" s="185">
        <v>34.4206</v>
      </c>
      <c r="C24" s="164">
        <v>4328</v>
      </c>
      <c r="D24" s="164">
        <v>6276</v>
      </c>
      <c r="E24" s="164">
        <v>6985</v>
      </c>
      <c r="F24" s="164">
        <v>7880</v>
      </c>
      <c r="G24" s="164">
        <v>7663</v>
      </c>
      <c r="H24" s="164">
        <v>7814</v>
      </c>
      <c r="I24" s="164">
        <v>7710</v>
      </c>
      <c r="J24" s="164">
        <v>7488</v>
      </c>
      <c r="K24" s="164">
        <v>7027</v>
      </c>
      <c r="L24" s="152">
        <v>3535</v>
      </c>
      <c r="M24" s="164">
        <f t="shared" si="0"/>
        <v>7070</v>
      </c>
      <c r="N24" s="164">
        <v>7200</v>
      </c>
      <c r="O24" s="164">
        <v>7000</v>
      </c>
      <c r="P24" s="164">
        <v>7000</v>
      </c>
      <c r="Q24" s="164">
        <v>7000</v>
      </c>
      <c r="R24" s="96">
        <f t="shared" si="1"/>
        <v>-0.027777777777777776</v>
      </c>
      <c r="S24" s="141"/>
    </row>
    <row r="25" spans="1:19" ht="12.75">
      <c r="A25" s="191" t="s">
        <v>175</v>
      </c>
      <c r="B25" s="185">
        <v>34.4208</v>
      </c>
      <c r="C25" s="164">
        <v>5566</v>
      </c>
      <c r="D25" s="164">
        <v>11558</v>
      </c>
      <c r="E25" s="164">
        <v>11606</v>
      </c>
      <c r="F25" s="164">
        <v>12816</v>
      </c>
      <c r="G25" s="164">
        <v>15398</v>
      </c>
      <c r="H25" s="164">
        <v>16505</v>
      </c>
      <c r="I25" s="164">
        <v>18135</v>
      </c>
      <c r="J25" s="164">
        <v>18977</v>
      </c>
      <c r="K25" s="164">
        <v>19066</v>
      </c>
      <c r="L25" s="152">
        <v>7867</v>
      </c>
      <c r="M25" s="164">
        <f t="shared" si="0"/>
        <v>15734</v>
      </c>
      <c r="N25" s="164">
        <v>15600</v>
      </c>
      <c r="O25" s="164">
        <v>16000</v>
      </c>
      <c r="P25" s="164">
        <v>16000</v>
      </c>
      <c r="Q25" s="164">
        <v>16000</v>
      </c>
      <c r="R25" s="96">
        <f t="shared" si="1"/>
        <v>0.02564102564102564</v>
      </c>
      <c r="S25" s="141"/>
    </row>
    <row r="26" spans="1:19" ht="12.75">
      <c r="A26" s="191" t="s">
        <v>176</v>
      </c>
      <c r="B26" s="185">
        <v>34.421</v>
      </c>
      <c r="C26" s="164">
        <v>10544</v>
      </c>
      <c r="D26" s="164">
        <v>15776</v>
      </c>
      <c r="E26" s="164">
        <v>16058</v>
      </c>
      <c r="F26" s="164">
        <v>17415</v>
      </c>
      <c r="G26" s="164">
        <v>19070</v>
      </c>
      <c r="H26" s="164">
        <v>20468</v>
      </c>
      <c r="I26" s="164">
        <v>21622</v>
      </c>
      <c r="J26" s="164">
        <v>23388</v>
      </c>
      <c r="K26" s="164">
        <v>22136</v>
      </c>
      <c r="L26" s="152">
        <v>10682</v>
      </c>
      <c r="M26" s="164">
        <f t="shared" si="0"/>
        <v>21364</v>
      </c>
      <c r="N26" s="164">
        <v>24000</v>
      </c>
      <c r="O26" s="164">
        <v>21000</v>
      </c>
      <c r="P26" s="164">
        <v>21000</v>
      </c>
      <c r="Q26" s="164">
        <v>21000</v>
      </c>
      <c r="R26" s="96">
        <f t="shared" si="1"/>
        <v>-0.125</v>
      </c>
      <c r="S26" s="141"/>
    </row>
    <row r="27" spans="1:19" ht="12.75">
      <c r="A27" s="191" t="s">
        <v>177</v>
      </c>
      <c r="B27" s="185">
        <v>34.4212</v>
      </c>
      <c r="C27" s="164">
        <v>15250</v>
      </c>
      <c r="D27" s="164">
        <v>14454</v>
      </c>
      <c r="E27" s="164">
        <v>14239</v>
      </c>
      <c r="F27" s="164">
        <v>14047</v>
      </c>
      <c r="G27" s="164">
        <v>15028</v>
      </c>
      <c r="H27" s="164">
        <v>16725</v>
      </c>
      <c r="I27" s="164">
        <v>18269</v>
      </c>
      <c r="J27" s="164">
        <v>18848</v>
      </c>
      <c r="K27" s="164">
        <v>17911</v>
      </c>
      <c r="L27" s="152">
        <v>8309</v>
      </c>
      <c r="M27" s="164">
        <f t="shared" si="0"/>
        <v>16618</v>
      </c>
      <c r="N27" s="164">
        <v>16500</v>
      </c>
      <c r="O27" s="164">
        <v>17000</v>
      </c>
      <c r="P27" s="164">
        <v>17000</v>
      </c>
      <c r="Q27" s="164">
        <v>17000</v>
      </c>
      <c r="R27" s="96">
        <f t="shared" si="1"/>
        <v>0.030303030303030304</v>
      </c>
      <c r="S27" s="141"/>
    </row>
    <row r="28" spans="1:21" ht="12.75">
      <c r="A28" s="191" t="s">
        <v>440</v>
      </c>
      <c r="B28" s="185">
        <v>34.93</v>
      </c>
      <c r="L28" s="152">
        <v>30</v>
      </c>
      <c r="M28" s="164">
        <f t="shared" si="0"/>
        <v>60</v>
      </c>
      <c r="R28" s="96"/>
      <c r="S28" s="141"/>
      <c r="U28" s="85"/>
    </row>
    <row r="29" spans="1:19" ht="13.5" thickBot="1">
      <c r="A29" s="191" t="s">
        <v>283</v>
      </c>
      <c r="B29" s="192"/>
      <c r="D29" s="193"/>
      <c r="E29" s="193"/>
      <c r="F29" s="193">
        <f>3086+25</f>
        <v>3111</v>
      </c>
      <c r="G29" s="193"/>
      <c r="H29" s="193">
        <v>-24156</v>
      </c>
      <c r="I29" s="193">
        <v>46915</v>
      </c>
      <c r="J29" s="193"/>
      <c r="K29" s="193">
        <v>-70113</v>
      </c>
      <c r="L29" s="193"/>
      <c r="M29" s="193"/>
      <c r="N29" s="193"/>
      <c r="O29" s="193"/>
      <c r="P29" s="193"/>
      <c r="Q29" s="193"/>
      <c r="R29" s="97"/>
      <c r="S29" s="141"/>
    </row>
    <row r="30" spans="1:19" ht="13.5" thickBot="1">
      <c r="A30" s="194" t="s">
        <v>19</v>
      </c>
      <c r="C30" s="193"/>
      <c r="D30" s="161">
        <f>SUM(D7:D29)</f>
        <v>617569</v>
      </c>
      <c r="E30" s="161">
        <f>SUM(E7:E29)</f>
        <v>615224</v>
      </c>
      <c r="F30" s="161">
        <v>844994</v>
      </c>
      <c r="G30" s="161">
        <v>821585</v>
      </c>
      <c r="H30" s="161">
        <v>778440</v>
      </c>
      <c r="I30" s="161">
        <v>826365</v>
      </c>
      <c r="J30" s="161">
        <v>814365</v>
      </c>
      <c r="K30" s="161">
        <v>1092187.54</v>
      </c>
      <c r="L30" s="161">
        <f aca="true" t="shared" si="2" ref="L30:Q30">SUM(L7:L29)</f>
        <v>445520</v>
      </c>
      <c r="M30" s="161">
        <f t="shared" si="2"/>
        <v>890990</v>
      </c>
      <c r="N30" s="161">
        <f t="shared" si="2"/>
        <v>829000</v>
      </c>
      <c r="O30" s="161">
        <f t="shared" si="2"/>
        <v>843300</v>
      </c>
      <c r="P30" s="161">
        <f t="shared" si="2"/>
        <v>843300</v>
      </c>
      <c r="Q30" s="161">
        <f t="shared" si="2"/>
        <v>843300</v>
      </c>
      <c r="R30" s="96">
        <f>(Q30-N30)/N30</f>
        <v>0.0172496984318456</v>
      </c>
      <c r="S30" s="141"/>
    </row>
    <row r="31" spans="3:19" ht="12.75">
      <c r="C31" s="164">
        <f>SUM(C10:C30)</f>
        <v>567545</v>
      </c>
      <c r="R31" s="96"/>
      <c r="S31" s="141"/>
    </row>
    <row r="32" spans="1:18" ht="12.75">
      <c r="A32" s="161" t="s">
        <v>153</v>
      </c>
      <c r="R32" s="96"/>
    </row>
    <row r="33" spans="1:18" ht="12.75">
      <c r="A33" s="161" t="s">
        <v>90</v>
      </c>
      <c r="R33" s="96"/>
    </row>
    <row r="34" spans="1:19" ht="12.75">
      <c r="A34" s="160" t="s">
        <v>376</v>
      </c>
      <c r="B34" s="185">
        <v>50.11</v>
      </c>
      <c r="K34" s="164">
        <v>199624</v>
      </c>
      <c r="L34" s="164">
        <v>159533</v>
      </c>
      <c r="M34" s="164">
        <f>+L34/$L$2*12</f>
        <v>319066</v>
      </c>
      <c r="N34" s="164">
        <v>396013</v>
      </c>
      <c r="O34" s="164">
        <v>375594</v>
      </c>
      <c r="P34" s="164">
        <v>375594.03</v>
      </c>
      <c r="Q34" s="164">
        <v>375594.03</v>
      </c>
      <c r="R34" s="96"/>
      <c r="S34" s="164" t="s">
        <v>375</v>
      </c>
    </row>
    <row r="35" spans="1:19" ht="12.75">
      <c r="A35" s="160" t="s">
        <v>377</v>
      </c>
      <c r="B35" s="185">
        <v>51.211</v>
      </c>
      <c r="J35" s="164">
        <v>2400</v>
      </c>
      <c r="L35" s="164">
        <v>16273</v>
      </c>
      <c r="M35" s="164">
        <f>+L35/$L$2*12</f>
        <v>32546</v>
      </c>
      <c r="N35" s="164">
        <v>26494</v>
      </c>
      <c r="O35" s="164">
        <v>28800</v>
      </c>
      <c r="P35" s="164">
        <f>6*4800</f>
        <v>28800</v>
      </c>
      <c r="Q35" s="164">
        <f>6*4800</f>
        <v>28800</v>
      </c>
      <c r="R35" s="96"/>
      <c r="S35" s="164" t="s">
        <v>442</v>
      </c>
    </row>
    <row r="36" spans="1:19" ht="12.75">
      <c r="A36" s="160" t="s">
        <v>378</v>
      </c>
      <c r="K36" s="164">
        <v>14561</v>
      </c>
      <c r="L36" s="164">
        <v>11824</v>
      </c>
      <c r="M36" s="164">
        <f>+L36/$L$2*12</f>
        <v>23648</v>
      </c>
      <c r="N36" s="164">
        <v>30410</v>
      </c>
      <c r="O36" s="164">
        <v>28733</v>
      </c>
      <c r="P36" s="164">
        <f>(P34+P38)*0.0765</f>
        <v>28847.693295</v>
      </c>
      <c r="Q36" s="164">
        <f>(Q34+Q38)*0.0765</f>
        <v>28847.693295</v>
      </c>
      <c r="R36" s="96"/>
      <c r="S36" s="164" t="s">
        <v>289</v>
      </c>
    </row>
    <row r="37" spans="1:18" ht="12.75">
      <c r="A37" s="160" t="s">
        <v>412</v>
      </c>
      <c r="K37" s="164">
        <v>3862</v>
      </c>
      <c r="L37" s="164">
        <v>11413</v>
      </c>
      <c r="M37" s="164">
        <v>11500</v>
      </c>
      <c r="R37" s="96"/>
    </row>
    <row r="38" spans="1:21" ht="12.75">
      <c r="A38" s="160" t="s">
        <v>441</v>
      </c>
      <c r="L38" s="164">
        <v>610</v>
      </c>
      <c r="M38" s="164">
        <v>1500</v>
      </c>
      <c r="N38" s="164">
        <v>1500</v>
      </c>
      <c r="O38" s="164">
        <v>1500</v>
      </c>
      <c r="P38" s="164">
        <v>1500</v>
      </c>
      <c r="Q38" s="164">
        <v>1500</v>
      </c>
      <c r="R38" s="96"/>
      <c r="U38" s="85"/>
    </row>
    <row r="39" spans="1:21" ht="12.75">
      <c r="A39" s="160" t="s">
        <v>39</v>
      </c>
      <c r="L39" s="164">
        <v>1701</v>
      </c>
      <c r="M39" s="164">
        <v>2000</v>
      </c>
      <c r="N39" s="164">
        <v>2000</v>
      </c>
      <c r="O39" s="164">
        <v>2000</v>
      </c>
      <c r="P39" s="164">
        <v>2000</v>
      </c>
      <c r="Q39" s="164">
        <v>2000</v>
      </c>
      <c r="R39" s="96"/>
      <c r="U39" s="85"/>
    </row>
    <row r="40" spans="1:18" ht="12.75">
      <c r="A40" s="160"/>
      <c r="R40" s="96"/>
    </row>
    <row r="41" spans="1:18" ht="12.75">
      <c r="A41" s="191" t="s">
        <v>42</v>
      </c>
      <c r="B41" s="185">
        <v>52.2206</v>
      </c>
      <c r="G41" s="164">
        <v>150</v>
      </c>
      <c r="I41" s="164">
        <v>10329</v>
      </c>
      <c r="J41" s="164">
        <v>5764</v>
      </c>
      <c r="K41" s="164">
        <v>4642</v>
      </c>
      <c r="L41" s="30">
        <v>2458</v>
      </c>
      <c r="M41" s="164">
        <f>+L41/$L$2*12</f>
        <v>4916</v>
      </c>
      <c r="N41" s="164">
        <v>6000</v>
      </c>
      <c r="O41" s="164">
        <v>6000</v>
      </c>
      <c r="P41" s="164">
        <v>6000</v>
      </c>
      <c r="Q41" s="164">
        <v>6000</v>
      </c>
      <c r="R41" s="96">
        <f>(Q41-N41)/N41</f>
        <v>0</v>
      </c>
    </row>
    <row r="42" spans="1:18" ht="12.75" hidden="1">
      <c r="A42" s="191"/>
      <c r="L42" s="30"/>
      <c r="M42" s="164">
        <f>+L42/$L$2*12</f>
        <v>0</v>
      </c>
      <c r="R42" s="96"/>
    </row>
    <row r="43" spans="1:18" ht="12.75" hidden="1">
      <c r="A43" s="191" t="s">
        <v>180</v>
      </c>
      <c r="B43" s="185">
        <v>52.232</v>
      </c>
      <c r="F43" s="164">
        <v>563</v>
      </c>
      <c r="M43" s="164">
        <f>+L43/$L$2*12</f>
        <v>0</v>
      </c>
      <c r="R43" s="96" t="e">
        <f>(Q43-N43)/N43</f>
        <v>#DIV/0!</v>
      </c>
    </row>
    <row r="44" spans="1:18" ht="12.75">
      <c r="A44" s="195" t="s">
        <v>181</v>
      </c>
      <c r="B44" s="168">
        <v>52.32</v>
      </c>
      <c r="D44" s="161"/>
      <c r="E44" s="161"/>
      <c r="F44" s="160">
        <v>2381</v>
      </c>
      <c r="G44" s="160">
        <v>2966</v>
      </c>
      <c r="H44" s="160">
        <v>3100</v>
      </c>
      <c r="I44" s="160">
        <v>1603</v>
      </c>
      <c r="J44" s="160">
        <v>3114</v>
      </c>
      <c r="K44" s="160">
        <v>3215</v>
      </c>
      <c r="L44" s="160">
        <v>1647</v>
      </c>
      <c r="M44" s="164">
        <f>+L44/$L$2*12</f>
        <v>3294</v>
      </c>
      <c r="N44" s="160">
        <v>3500</v>
      </c>
      <c r="O44" s="160">
        <v>3500</v>
      </c>
      <c r="P44" s="160">
        <v>3500</v>
      </c>
      <c r="Q44" s="160">
        <v>3500</v>
      </c>
      <c r="R44" s="96">
        <f>(Q44-N44)/N44</f>
        <v>0</v>
      </c>
    </row>
    <row r="45" spans="1:19" ht="12.75" hidden="1">
      <c r="A45" s="195" t="s">
        <v>44</v>
      </c>
      <c r="B45" s="168">
        <v>52.321</v>
      </c>
      <c r="C45" s="161"/>
      <c r="D45" s="161"/>
      <c r="E45" s="161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96" t="e">
        <f>(Q45-N45)/N45</f>
        <v>#DIV/0!</v>
      </c>
      <c r="S45" s="161"/>
    </row>
    <row r="46" spans="1:19" ht="12.75" hidden="1">
      <c r="A46" s="195" t="s">
        <v>63</v>
      </c>
      <c r="B46" s="168">
        <v>52.35</v>
      </c>
      <c r="C46" s="161"/>
      <c r="D46" s="161"/>
      <c r="E46" s="161"/>
      <c r="F46" s="160">
        <v>15</v>
      </c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96" t="e">
        <f>(Q46-N46)/N46</f>
        <v>#DIV/0!</v>
      </c>
      <c r="S46" s="161"/>
    </row>
    <row r="47" spans="1:19" ht="12.75" hidden="1">
      <c r="A47" s="195" t="s">
        <v>64</v>
      </c>
      <c r="B47" s="168">
        <v>52.36</v>
      </c>
      <c r="C47" s="161"/>
      <c r="D47" s="161"/>
      <c r="E47" s="161"/>
      <c r="F47" s="160"/>
      <c r="G47" s="160"/>
      <c r="H47" s="160"/>
      <c r="I47" s="160"/>
      <c r="J47" s="160"/>
      <c r="K47" s="160"/>
      <c r="L47" s="161"/>
      <c r="M47" s="160"/>
      <c r="N47" s="160"/>
      <c r="O47" s="160"/>
      <c r="P47" s="160"/>
      <c r="Q47" s="160"/>
      <c r="R47" s="96"/>
      <c r="S47" s="161"/>
    </row>
    <row r="48" spans="1:19" ht="12.75" hidden="1">
      <c r="A48" s="195" t="s">
        <v>182</v>
      </c>
      <c r="B48" s="168">
        <v>52.37</v>
      </c>
      <c r="C48" s="161"/>
      <c r="D48" s="161"/>
      <c r="E48" s="161"/>
      <c r="F48" s="160"/>
      <c r="G48" s="160"/>
      <c r="H48" s="160"/>
      <c r="I48" s="160"/>
      <c r="J48" s="160"/>
      <c r="K48" s="160"/>
      <c r="L48" s="161"/>
      <c r="M48" s="160"/>
      <c r="N48" s="160"/>
      <c r="O48" s="160"/>
      <c r="P48" s="160"/>
      <c r="Q48" s="160"/>
      <c r="R48" s="96" t="e">
        <f aca="true" t="shared" si="3" ref="R48:R65">(Q48-N48)/N48</f>
        <v>#DIV/0!</v>
      </c>
      <c r="S48" s="161"/>
    </row>
    <row r="49" spans="1:21" s="173" customFormat="1" ht="12.75">
      <c r="A49" s="196" t="s">
        <v>44</v>
      </c>
      <c r="B49" s="197">
        <v>52.321</v>
      </c>
      <c r="C49" s="198">
        <v>10</v>
      </c>
      <c r="D49" s="199"/>
      <c r="E49" s="199">
        <v>49</v>
      </c>
      <c r="F49" s="199"/>
      <c r="G49" s="199"/>
      <c r="H49" s="104"/>
      <c r="I49" s="109"/>
      <c r="J49" s="109"/>
      <c r="K49" s="109">
        <v>125</v>
      </c>
      <c r="L49" s="104">
        <v>41</v>
      </c>
      <c r="M49" s="104"/>
      <c r="N49" s="99"/>
      <c r="O49" s="104"/>
      <c r="P49" s="104"/>
      <c r="Q49" s="104"/>
      <c r="R49" s="99"/>
      <c r="S49" s="99" t="s">
        <v>303</v>
      </c>
      <c r="U49" s="224"/>
    </row>
    <row r="50" spans="1:19" ht="12.75">
      <c r="A50" s="191" t="s">
        <v>183</v>
      </c>
      <c r="B50" s="185">
        <v>52.391</v>
      </c>
      <c r="C50" s="161"/>
      <c r="D50" s="164">
        <v>443149</v>
      </c>
      <c r="E50" s="164">
        <v>423175</v>
      </c>
      <c r="F50" s="160">
        <v>501841</v>
      </c>
      <c r="G50" s="160">
        <v>454425</v>
      </c>
      <c r="H50" s="160">
        <f>448757+49362</f>
        <v>498119</v>
      </c>
      <c r="I50" s="160">
        <f>468025+41499</f>
        <v>509524</v>
      </c>
      <c r="J50" s="160">
        <v>530815.9</v>
      </c>
      <c r="K50" s="160">
        <v>607683.48</v>
      </c>
      <c r="L50" s="30">
        <v>251449</v>
      </c>
      <c r="M50" s="164">
        <f>+L50/$L$2*12</f>
        <v>502898</v>
      </c>
      <c r="N50" s="164">
        <v>500000</v>
      </c>
      <c r="O50" s="164">
        <v>500000</v>
      </c>
      <c r="P50" s="164">
        <v>500000</v>
      </c>
      <c r="Q50" s="164">
        <v>500000</v>
      </c>
      <c r="R50" s="96">
        <f t="shared" si="3"/>
        <v>0</v>
      </c>
      <c r="S50" s="161"/>
    </row>
    <row r="51" spans="1:18" ht="12.75">
      <c r="A51" s="191" t="s">
        <v>184</v>
      </c>
      <c r="B51" s="185">
        <v>52.393</v>
      </c>
      <c r="C51" s="164">
        <v>383433</v>
      </c>
      <c r="F51" s="160">
        <v>10185</v>
      </c>
      <c r="G51" s="160">
        <v>8003</v>
      </c>
      <c r="H51" s="160">
        <v>8488</v>
      </c>
      <c r="I51" s="160">
        <v>8373</v>
      </c>
      <c r="J51" s="160">
        <v>8600</v>
      </c>
      <c r="K51" s="160">
        <v>12000</v>
      </c>
      <c r="L51" s="30">
        <v>17000</v>
      </c>
      <c r="M51" s="164">
        <v>17000</v>
      </c>
      <c r="N51" s="164">
        <v>12000</v>
      </c>
      <c r="O51" s="164">
        <v>17000</v>
      </c>
      <c r="P51" s="164">
        <v>17000</v>
      </c>
      <c r="Q51" s="164">
        <v>17000</v>
      </c>
      <c r="R51" s="96">
        <f t="shared" si="3"/>
        <v>0.4166666666666667</v>
      </c>
    </row>
    <row r="52" spans="1:18" ht="12.75">
      <c r="A52" s="191" t="s">
        <v>413</v>
      </c>
      <c r="F52" s="160"/>
      <c r="G52" s="160"/>
      <c r="H52" s="160"/>
      <c r="I52" s="160"/>
      <c r="J52" s="160"/>
      <c r="K52" s="160">
        <v>12881</v>
      </c>
      <c r="L52" s="30"/>
      <c r="R52" s="96"/>
    </row>
    <row r="53" spans="1:18" ht="12.75">
      <c r="A53" s="191" t="s">
        <v>300</v>
      </c>
      <c r="B53" s="185">
        <v>53.12</v>
      </c>
      <c r="F53" s="160"/>
      <c r="G53" s="160"/>
      <c r="H53" s="160"/>
      <c r="I53" s="160">
        <v>7031</v>
      </c>
      <c r="J53" s="160">
        <v>10087</v>
      </c>
      <c r="K53" s="160">
        <v>11063</v>
      </c>
      <c r="L53" s="30">
        <v>6302</v>
      </c>
      <c r="M53" s="164">
        <f>+L53/$L$2*12</f>
        <v>12604</v>
      </c>
      <c r="N53" s="164">
        <v>11500</v>
      </c>
      <c r="O53" s="164">
        <v>13000</v>
      </c>
      <c r="P53" s="164">
        <v>13000</v>
      </c>
      <c r="Q53" s="164">
        <v>13000</v>
      </c>
      <c r="R53" s="96"/>
    </row>
    <row r="54" spans="1:20" ht="12.75">
      <c r="A54" s="191" t="s">
        <v>185</v>
      </c>
      <c r="B54" s="185">
        <v>53.155</v>
      </c>
      <c r="F54" s="160">
        <v>17423</v>
      </c>
      <c r="G54" s="160">
        <v>19391</v>
      </c>
      <c r="H54" s="160">
        <v>18170</v>
      </c>
      <c r="I54" s="160">
        <v>21897</v>
      </c>
      <c r="J54" s="160">
        <v>35053</v>
      </c>
      <c r="K54" s="160">
        <v>28456</v>
      </c>
      <c r="L54" s="30"/>
      <c r="M54" s="164">
        <v>35000</v>
      </c>
      <c r="N54" s="164">
        <v>35000</v>
      </c>
      <c r="O54" s="164">
        <v>35000</v>
      </c>
      <c r="P54" s="164">
        <v>35000</v>
      </c>
      <c r="Q54" s="164">
        <v>35000</v>
      </c>
      <c r="R54" s="96">
        <f t="shared" si="3"/>
        <v>0</v>
      </c>
      <c r="T54" s="9"/>
    </row>
    <row r="55" spans="1:21" s="174" customFormat="1" ht="12.75">
      <c r="A55" s="196" t="s">
        <v>65</v>
      </c>
      <c r="B55" s="197">
        <v>53.17</v>
      </c>
      <c r="C55" s="198"/>
      <c r="D55" s="109">
        <v>494</v>
      </c>
      <c r="E55" s="109">
        <v>105</v>
      </c>
      <c r="F55" s="109"/>
      <c r="G55" s="109"/>
      <c r="H55" s="104"/>
      <c r="I55" s="109"/>
      <c r="J55" s="109">
        <v>844</v>
      </c>
      <c r="K55" s="109">
        <v>384</v>
      </c>
      <c r="L55" s="104">
        <v>29</v>
      </c>
      <c r="M55" s="104">
        <v>400</v>
      </c>
      <c r="N55" s="13">
        <v>400</v>
      </c>
      <c r="O55" s="104">
        <v>400</v>
      </c>
      <c r="P55" s="104">
        <v>400</v>
      </c>
      <c r="Q55" s="104">
        <v>400</v>
      </c>
      <c r="R55" s="13"/>
      <c r="S55" s="99" t="s">
        <v>303</v>
      </c>
      <c r="T55" s="9"/>
      <c r="U55" s="221" t="s">
        <v>201</v>
      </c>
    </row>
    <row r="56" spans="1:21" s="174" customFormat="1" ht="12.75">
      <c r="A56" s="196" t="s">
        <v>66</v>
      </c>
      <c r="B56" s="197">
        <v>53.1702</v>
      </c>
      <c r="C56" s="198"/>
      <c r="D56" s="109">
        <v>71</v>
      </c>
      <c r="E56" s="109">
        <v>106</v>
      </c>
      <c r="F56" s="109">
        <v>200</v>
      </c>
      <c r="G56" s="109"/>
      <c r="H56" s="104"/>
      <c r="I56" s="109"/>
      <c r="J56" s="109"/>
      <c r="K56" s="109">
        <v>187</v>
      </c>
      <c r="L56" s="104">
        <v>120</v>
      </c>
      <c r="M56" s="104">
        <v>250</v>
      </c>
      <c r="N56" s="13">
        <v>250</v>
      </c>
      <c r="O56" s="104">
        <v>250</v>
      </c>
      <c r="P56" s="104">
        <v>250</v>
      </c>
      <c r="Q56" s="104">
        <v>250</v>
      </c>
      <c r="R56" s="13"/>
      <c r="S56" s="99" t="s">
        <v>303</v>
      </c>
      <c r="T56" s="9"/>
      <c r="U56" s="221"/>
    </row>
    <row r="57" spans="1:20" ht="12.75">
      <c r="A57" s="191" t="s">
        <v>23</v>
      </c>
      <c r="B57" s="185">
        <v>53.171</v>
      </c>
      <c r="D57" s="164">
        <v>1548</v>
      </c>
      <c r="E57" s="164">
        <v>1576</v>
      </c>
      <c r="F57" s="160">
        <v>592</v>
      </c>
      <c r="G57" s="160"/>
      <c r="H57" s="160">
        <v>626</v>
      </c>
      <c r="I57" s="160">
        <v>570</v>
      </c>
      <c r="J57" s="160"/>
      <c r="K57" s="160">
        <v>2175</v>
      </c>
      <c r="L57" s="30">
        <v>751</v>
      </c>
      <c r="M57" s="164">
        <f>+L57/$L$2*12</f>
        <v>1502</v>
      </c>
      <c r="N57" s="164">
        <v>2900</v>
      </c>
      <c r="O57" s="164">
        <v>2900</v>
      </c>
      <c r="P57" s="164">
        <v>2200</v>
      </c>
      <c r="Q57" s="164">
        <v>2200</v>
      </c>
      <c r="R57" s="96">
        <f t="shared" si="3"/>
        <v>-0.2413793103448276</v>
      </c>
      <c r="S57" s="99" t="s">
        <v>303</v>
      </c>
      <c r="T57" s="9"/>
    </row>
    <row r="58" spans="1:20" ht="12.75">
      <c r="A58" s="191" t="s">
        <v>101</v>
      </c>
      <c r="B58" s="185">
        <v>53.172</v>
      </c>
      <c r="C58" s="164">
        <v>1498</v>
      </c>
      <c r="F58" s="160">
        <v>1049</v>
      </c>
      <c r="G58" s="160">
        <v>1061</v>
      </c>
      <c r="H58" s="160">
        <f>1998+500</f>
        <v>2498</v>
      </c>
      <c r="I58" s="160">
        <f>6060+506</f>
        <v>6566</v>
      </c>
      <c r="J58" s="160">
        <v>10053</v>
      </c>
      <c r="K58" s="160">
        <v>7028</v>
      </c>
      <c r="L58" s="30">
        <v>1662</v>
      </c>
      <c r="M58" s="164">
        <v>5000</v>
      </c>
      <c r="N58" s="164">
        <v>7500</v>
      </c>
      <c r="O58" s="164">
        <v>7500</v>
      </c>
      <c r="P58" s="164">
        <v>5000</v>
      </c>
      <c r="Q58" s="164">
        <v>5000</v>
      </c>
      <c r="R58" s="96">
        <f t="shared" si="3"/>
        <v>-0.3333333333333333</v>
      </c>
      <c r="T58" s="9"/>
    </row>
    <row r="59" spans="1:21" s="174" customFormat="1" ht="12.75">
      <c r="A59" s="196" t="s">
        <v>67</v>
      </c>
      <c r="B59" s="197">
        <v>53.174</v>
      </c>
      <c r="C59" s="198">
        <v>950</v>
      </c>
      <c r="D59" s="109">
        <v>1308</v>
      </c>
      <c r="E59" s="109">
        <v>1476</v>
      </c>
      <c r="F59" s="109">
        <v>1541</v>
      </c>
      <c r="G59" s="109"/>
      <c r="H59" s="104"/>
      <c r="I59" s="109"/>
      <c r="J59" s="109"/>
      <c r="K59" s="109">
        <v>1721</v>
      </c>
      <c r="L59" s="30">
        <v>84</v>
      </c>
      <c r="M59" s="104">
        <v>1800</v>
      </c>
      <c r="N59" s="13">
        <v>1775</v>
      </c>
      <c r="O59" s="104">
        <v>1800</v>
      </c>
      <c r="P59" s="104">
        <v>1800</v>
      </c>
      <c r="Q59" s="104">
        <v>1800</v>
      </c>
      <c r="R59" s="13"/>
      <c r="S59" s="99" t="s">
        <v>303</v>
      </c>
      <c r="T59" s="9"/>
      <c r="U59" s="221"/>
    </row>
    <row r="60" spans="1:18" ht="12.75">
      <c r="A60" s="191" t="s">
        <v>186</v>
      </c>
      <c r="B60" s="185">
        <v>53.175</v>
      </c>
      <c r="F60" s="160"/>
      <c r="G60" s="160"/>
      <c r="H60" s="160"/>
      <c r="I60" s="160">
        <v>8494</v>
      </c>
      <c r="J60" s="160">
        <v>20057</v>
      </c>
      <c r="K60" s="160">
        <v>11679</v>
      </c>
      <c r="L60" s="104">
        <v>7834</v>
      </c>
      <c r="M60" s="164">
        <f>+L60/$L$2*12</f>
        <v>15668</v>
      </c>
      <c r="N60" s="164">
        <v>15000</v>
      </c>
      <c r="O60" s="164">
        <v>15000</v>
      </c>
      <c r="P60" s="164">
        <v>15000</v>
      </c>
      <c r="Q60" s="164">
        <v>15000</v>
      </c>
      <c r="R60" s="96">
        <f t="shared" si="3"/>
        <v>0</v>
      </c>
    </row>
    <row r="61" spans="1:21" s="174" customFormat="1" ht="12.75">
      <c r="A61" s="196" t="s">
        <v>69</v>
      </c>
      <c r="B61" s="197">
        <v>53.176</v>
      </c>
      <c r="C61" s="198">
        <v>494</v>
      </c>
      <c r="D61" s="109">
        <v>1165</v>
      </c>
      <c r="E61" s="109">
        <v>859</v>
      </c>
      <c r="F61" s="109">
        <v>822</v>
      </c>
      <c r="G61" s="109"/>
      <c r="H61" s="104"/>
      <c r="I61" s="109"/>
      <c r="J61" s="109"/>
      <c r="K61" s="109">
        <v>900</v>
      </c>
      <c r="L61" s="30">
        <v>600</v>
      </c>
      <c r="M61" s="104">
        <v>1500</v>
      </c>
      <c r="N61" s="13">
        <v>1500</v>
      </c>
      <c r="O61" s="104">
        <v>1500</v>
      </c>
      <c r="P61" s="104">
        <v>1500</v>
      </c>
      <c r="Q61" s="104">
        <v>1500</v>
      </c>
      <c r="R61" s="13"/>
      <c r="S61" s="99" t="s">
        <v>303</v>
      </c>
      <c r="U61" s="224"/>
    </row>
    <row r="62" spans="1:18" ht="12.75">
      <c r="A62" s="191" t="s">
        <v>301</v>
      </c>
      <c r="B62" s="185">
        <v>53.177</v>
      </c>
      <c r="F62" s="160">
        <v>1273</v>
      </c>
      <c r="G62" s="160"/>
      <c r="H62" s="160"/>
      <c r="I62" s="160">
        <v>2412</v>
      </c>
      <c r="J62" s="160">
        <v>920</v>
      </c>
      <c r="K62" s="160">
        <v>4416</v>
      </c>
      <c r="L62" s="104">
        <v>553</v>
      </c>
      <c r="M62" s="164">
        <v>2500</v>
      </c>
      <c r="N62" s="164">
        <v>2500</v>
      </c>
      <c r="O62" s="164">
        <v>2500</v>
      </c>
      <c r="P62" s="164">
        <v>2500</v>
      </c>
      <c r="Q62" s="164">
        <v>2500</v>
      </c>
      <c r="R62" s="96">
        <f t="shared" si="3"/>
        <v>0</v>
      </c>
    </row>
    <row r="63" spans="1:21" s="174" customFormat="1" ht="12.75">
      <c r="A63" s="196" t="s">
        <v>56</v>
      </c>
      <c r="B63" s="197">
        <v>53.178</v>
      </c>
      <c r="C63" s="198"/>
      <c r="D63" s="109">
        <v>201</v>
      </c>
      <c r="E63" s="109">
        <v>324</v>
      </c>
      <c r="F63" s="109">
        <v>460</v>
      </c>
      <c r="G63" s="109"/>
      <c r="H63" s="104"/>
      <c r="I63" s="109"/>
      <c r="J63" s="109"/>
      <c r="K63" s="109">
        <v>813</v>
      </c>
      <c r="L63" s="30">
        <v>718</v>
      </c>
      <c r="M63" s="104">
        <v>800</v>
      </c>
      <c r="N63" s="99">
        <v>800</v>
      </c>
      <c r="O63" s="104">
        <v>800</v>
      </c>
      <c r="P63" s="104">
        <v>800</v>
      </c>
      <c r="Q63" s="104">
        <v>800</v>
      </c>
      <c r="R63" s="13"/>
      <c r="S63" s="99" t="s">
        <v>303</v>
      </c>
      <c r="U63" s="224"/>
    </row>
    <row r="64" spans="1:19" ht="12.75">
      <c r="A64" s="191" t="s">
        <v>57</v>
      </c>
      <c r="B64" s="185">
        <v>53.179</v>
      </c>
      <c r="F64" s="160"/>
      <c r="G64" s="160"/>
      <c r="H64" s="160"/>
      <c r="I64" s="160"/>
      <c r="J64" s="160"/>
      <c r="K64" s="160">
        <v>2983</v>
      </c>
      <c r="L64" s="104">
        <v>1500</v>
      </c>
      <c r="M64" s="164">
        <f>+L64/$L$2*12</f>
        <v>3000</v>
      </c>
      <c r="N64" s="164">
        <v>2750</v>
      </c>
      <c r="O64" s="164">
        <v>3200</v>
      </c>
      <c r="P64" s="164">
        <v>3200</v>
      </c>
      <c r="Q64" s="164">
        <v>3200</v>
      </c>
      <c r="R64" s="96"/>
      <c r="S64" s="99" t="s">
        <v>303</v>
      </c>
    </row>
    <row r="65" spans="1:18" ht="12.75">
      <c r="A65" s="191" t="s">
        <v>302</v>
      </c>
      <c r="B65" s="185">
        <v>53.18</v>
      </c>
      <c r="F65" s="160"/>
      <c r="G65" s="160"/>
      <c r="H65" s="160"/>
      <c r="I65" s="160">
        <v>7580</v>
      </c>
      <c r="J65" s="160">
        <v>12546</v>
      </c>
      <c r="K65" s="160">
        <v>14118</v>
      </c>
      <c r="L65" s="30">
        <v>8854</v>
      </c>
      <c r="M65" s="164">
        <f>+L65/$L$2*12</f>
        <v>17708</v>
      </c>
      <c r="N65" s="164">
        <v>13000</v>
      </c>
      <c r="O65" s="164">
        <v>18000</v>
      </c>
      <c r="P65" s="164">
        <v>18000</v>
      </c>
      <c r="Q65" s="164">
        <v>18000</v>
      </c>
      <c r="R65" s="96">
        <f t="shared" si="3"/>
        <v>0.38461538461538464</v>
      </c>
    </row>
    <row r="66" spans="1:19" ht="12.75">
      <c r="A66" s="191" t="s">
        <v>187</v>
      </c>
      <c r="B66" s="185">
        <v>54.12</v>
      </c>
      <c r="C66" s="164">
        <v>857</v>
      </c>
      <c r="F66" s="160">
        <v>4270</v>
      </c>
      <c r="G66" s="160"/>
      <c r="H66" s="160"/>
      <c r="I66" s="30"/>
      <c r="J66" s="30">
        <v>30</v>
      </c>
      <c r="K66" s="30">
        <v>574</v>
      </c>
      <c r="L66" s="30">
        <v>106731</v>
      </c>
      <c r="M66" s="164">
        <v>107000</v>
      </c>
      <c r="N66" s="164">
        <v>110000</v>
      </c>
      <c r="R66" s="96"/>
      <c r="S66" s="164" t="s">
        <v>314</v>
      </c>
    </row>
    <row r="67" spans="1:18" ht="12.75">
      <c r="A67" s="191" t="s">
        <v>230</v>
      </c>
      <c r="B67" s="185">
        <v>54.122</v>
      </c>
      <c r="F67" s="160">
        <v>29796</v>
      </c>
      <c r="G67" s="160"/>
      <c r="H67" s="160"/>
      <c r="I67" s="160"/>
      <c r="J67" s="160"/>
      <c r="K67" s="160"/>
      <c r="R67" s="96"/>
    </row>
    <row r="68" spans="1:18" ht="12.75" hidden="1">
      <c r="A68" s="191" t="s">
        <v>231</v>
      </c>
      <c r="B68" s="185">
        <v>54.252</v>
      </c>
      <c r="F68" s="160">
        <v>44510</v>
      </c>
      <c r="G68" s="160"/>
      <c r="H68" s="160"/>
      <c r="I68" s="160"/>
      <c r="J68" s="160"/>
      <c r="K68" s="160"/>
      <c r="R68" s="96"/>
    </row>
    <row r="69" spans="1:18" ht="12.75" hidden="1">
      <c r="A69" s="191" t="s">
        <v>191</v>
      </c>
      <c r="F69" s="160"/>
      <c r="G69" s="160"/>
      <c r="H69" s="160">
        <v>4300</v>
      </c>
      <c r="I69" s="160"/>
      <c r="J69" s="160"/>
      <c r="K69" s="160"/>
      <c r="R69" s="96"/>
    </row>
    <row r="70" spans="1:18" ht="12.75" hidden="1">
      <c r="A70" s="191" t="s">
        <v>152</v>
      </c>
      <c r="F70" s="160"/>
      <c r="G70" s="160"/>
      <c r="H70" s="160">
        <v>20762</v>
      </c>
      <c r="I70" s="160"/>
      <c r="J70" s="160"/>
      <c r="K70" s="160"/>
      <c r="R70" s="96"/>
    </row>
    <row r="71" spans="1:19" ht="12.75">
      <c r="A71" s="195" t="s">
        <v>188</v>
      </c>
      <c r="B71" s="168">
        <v>54.21</v>
      </c>
      <c r="D71" s="160"/>
      <c r="E71" s="160"/>
      <c r="F71" s="160">
        <v>1869</v>
      </c>
      <c r="G71" s="160"/>
      <c r="H71" s="160">
        <v>117300</v>
      </c>
      <c r="I71" s="160">
        <v>16000</v>
      </c>
      <c r="J71" s="160"/>
      <c r="K71" s="160"/>
      <c r="L71" s="160">
        <v>1518</v>
      </c>
      <c r="N71" s="160">
        <v>25000</v>
      </c>
      <c r="O71" s="160">
        <v>25000</v>
      </c>
      <c r="P71" s="160"/>
      <c r="Q71" s="160"/>
      <c r="R71" s="96"/>
      <c r="S71" s="164" t="s">
        <v>352</v>
      </c>
    </row>
    <row r="72" spans="1:19" ht="13.5" thickBot="1">
      <c r="A72" s="195" t="s">
        <v>305</v>
      </c>
      <c r="C72" s="160">
        <v>12133</v>
      </c>
      <c r="D72" s="193"/>
      <c r="E72" s="193"/>
      <c r="F72" s="193">
        <v>740</v>
      </c>
      <c r="G72" s="193"/>
      <c r="H72" s="193">
        <v>27117</v>
      </c>
      <c r="I72" s="193"/>
      <c r="J72" s="193"/>
      <c r="K72" s="193">
        <v>30684</v>
      </c>
      <c r="L72" s="193"/>
      <c r="M72" s="193"/>
      <c r="N72" s="200"/>
      <c r="O72" s="193"/>
      <c r="P72" s="193"/>
      <c r="Q72" s="193"/>
      <c r="R72" s="97"/>
      <c r="S72" s="161"/>
    </row>
    <row r="73" spans="1:18" ht="12.75">
      <c r="A73" s="201" t="s">
        <v>192</v>
      </c>
      <c r="D73" s="161">
        <f>SUM(D41:D72)</f>
        <v>447936</v>
      </c>
      <c r="E73" s="161">
        <f>SUM(E41:E72)</f>
        <v>427670</v>
      </c>
      <c r="F73" s="161">
        <f>SUM(F41:F72)</f>
        <v>619530</v>
      </c>
      <c r="G73" s="161">
        <f>SUM(G41:G72)</f>
        <v>485996</v>
      </c>
      <c r="H73" s="161">
        <f>SUM(H41:H72)</f>
        <v>700480</v>
      </c>
      <c r="I73" s="161">
        <v>600379</v>
      </c>
      <c r="J73" s="161">
        <v>648641.1</v>
      </c>
      <c r="K73" s="161">
        <v>975774.48</v>
      </c>
      <c r="L73" s="161">
        <f aca="true" t="shared" si="4" ref="L73:Q73">SUM(L34:L72)</f>
        <v>611205</v>
      </c>
      <c r="M73" s="161">
        <f t="shared" si="4"/>
        <v>1123100</v>
      </c>
      <c r="N73" s="161">
        <f t="shared" si="4"/>
        <v>1207792</v>
      </c>
      <c r="O73" s="161">
        <f t="shared" si="4"/>
        <v>1089977</v>
      </c>
      <c r="P73" s="161">
        <f t="shared" si="4"/>
        <v>1061891.723295</v>
      </c>
      <c r="Q73" s="161">
        <f t="shared" si="4"/>
        <v>1061891.723295</v>
      </c>
      <c r="R73" s="96">
        <f>(Q73-N73)/N73</f>
        <v>-0.12079917461367527</v>
      </c>
    </row>
    <row r="74" spans="3:18" ht="12.75">
      <c r="C74" s="164">
        <f>SUM(C45:C73)</f>
        <v>399375</v>
      </c>
      <c r="R74" s="96"/>
    </row>
    <row r="75" ht="12.75">
      <c r="R75" s="96"/>
    </row>
    <row r="76" spans="1:19" ht="12.75">
      <c r="A76" s="161" t="s">
        <v>193</v>
      </c>
      <c r="R76" s="96"/>
      <c r="S76" s="141"/>
    </row>
    <row r="77" spans="1:19" ht="12.75" hidden="1">
      <c r="A77" s="191" t="s">
        <v>154</v>
      </c>
      <c r="B77" s="185">
        <v>52.121</v>
      </c>
      <c r="D77" s="164">
        <v>87901</v>
      </c>
      <c r="E77" s="164">
        <v>12764</v>
      </c>
      <c r="F77" s="164">
        <v>15532</v>
      </c>
      <c r="G77" s="164">
        <v>7396</v>
      </c>
      <c r="M77" s="164">
        <f>+L77/$L$2*12</f>
        <v>0</v>
      </c>
      <c r="O77" s="202"/>
      <c r="P77" s="202"/>
      <c r="R77" s="96"/>
      <c r="S77" s="141"/>
    </row>
    <row r="78" spans="1:19" ht="12.75">
      <c r="A78" s="191" t="s">
        <v>155</v>
      </c>
      <c r="B78" s="185">
        <v>52.1215</v>
      </c>
      <c r="C78" s="164">
        <v>32494</v>
      </c>
      <c r="F78" s="164">
        <v>3310</v>
      </c>
      <c r="G78" s="164">
        <v>21233</v>
      </c>
      <c r="H78" s="164">
        <f>10339+1972</f>
        <v>12311</v>
      </c>
      <c r="I78" s="164">
        <v>6984</v>
      </c>
      <c r="J78" s="164">
        <v>9914</v>
      </c>
      <c r="K78" s="164">
        <v>35452</v>
      </c>
      <c r="L78" s="30">
        <v>19219</v>
      </c>
      <c r="M78" s="164">
        <v>30000</v>
      </c>
      <c r="N78" s="202">
        <v>30000</v>
      </c>
      <c r="O78" s="202">
        <v>30000</v>
      </c>
      <c r="P78" s="202">
        <v>30000</v>
      </c>
      <c r="Q78" s="202">
        <v>30000</v>
      </c>
      <c r="R78" s="96">
        <f>(Q78-N78)/N78</f>
        <v>0</v>
      </c>
      <c r="S78" s="141"/>
    </row>
    <row r="79" spans="1:19" ht="12.75">
      <c r="A79" s="191" t="s">
        <v>156</v>
      </c>
      <c r="B79" s="185">
        <v>52.131</v>
      </c>
      <c r="E79" s="164">
        <v>23592</v>
      </c>
      <c r="F79" s="164">
        <v>17349</v>
      </c>
      <c r="G79" s="164">
        <v>20345</v>
      </c>
      <c r="H79" s="164">
        <f>16878+350</f>
        <v>17228</v>
      </c>
      <c r="I79" s="164">
        <f>14158+350</f>
        <v>14508</v>
      </c>
      <c r="J79" s="164">
        <v>19430</v>
      </c>
      <c r="K79" s="164">
        <v>13803</v>
      </c>
      <c r="L79" s="30">
        <v>1400</v>
      </c>
      <c r="M79" s="164">
        <v>25000</v>
      </c>
      <c r="N79" s="202">
        <v>25000</v>
      </c>
      <c r="O79" s="202">
        <v>25000</v>
      </c>
      <c r="P79" s="202">
        <v>25000</v>
      </c>
      <c r="Q79" s="202">
        <v>25000</v>
      </c>
      <c r="R79" s="96">
        <f>(Q79-N79)/N79</f>
        <v>0</v>
      </c>
      <c r="S79" s="141"/>
    </row>
    <row r="80" spans="1:19" ht="12.75">
      <c r="A80" s="191" t="s">
        <v>157</v>
      </c>
      <c r="B80" s="185">
        <v>52.122</v>
      </c>
      <c r="H80" s="164">
        <v>6393</v>
      </c>
      <c r="I80" s="164">
        <v>16706</v>
      </c>
      <c r="J80" s="164">
        <v>790</v>
      </c>
      <c r="K80" s="164">
        <v>17757</v>
      </c>
      <c r="L80" s="30">
        <v>280</v>
      </c>
      <c r="M80" s="164">
        <v>30000</v>
      </c>
      <c r="N80" s="202">
        <v>30000</v>
      </c>
      <c r="O80" s="202">
        <v>30000</v>
      </c>
      <c r="P80" s="202">
        <v>30000</v>
      </c>
      <c r="Q80" s="202">
        <v>30000</v>
      </c>
      <c r="R80" s="96">
        <f>(Q80-N80)/N80</f>
        <v>0</v>
      </c>
      <c r="S80" s="141"/>
    </row>
    <row r="81" spans="1:19" ht="12.75">
      <c r="A81" s="191" t="s">
        <v>158</v>
      </c>
      <c r="B81" s="185">
        <v>52.316</v>
      </c>
      <c r="F81" s="164">
        <v>2500</v>
      </c>
      <c r="I81" s="164">
        <v>2500</v>
      </c>
      <c r="J81" s="164">
        <v>2350</v>
      </c>
      <c r="K81" s="164">
        <v>4700</v>
      </c>
      <c r="L81" s="30"/>
      <c r="N81" s="202">
        <v>2500</v>
      </c>
      <c r="O81" s="202"/>
      <c r="P81" s="202"/>
      <c r="Q81" s="202"/>
      <c r="R81" s="96">
        <f>(Q81-N81)/N81</f>
        <v>-1</v>
      </c>
      <c r="S81" s="141"/>
    </row>
    <row r="82" spans="1:18" ht="12.75">
      <c r="A82" s="191"/>
      <c r="N82" s="202"/>
      <c r="O82" s="202"/>
      <c r="P82" s="202"/>
      <c r="Q82" s="202"/>
      <c r="R82" s="96"/>
    </row>
    <row r="83" spans="1:19" ht="12.75">
      <c r="A83" s="191" t="s">
        <v>379</v>
      </c>
      <c r="L83" s="164">
        <v>110225</v>
      </c>
      <c r="M83" s="164">
        <v>200000</v>
      </c>
      <c r="N83" s="202">
        <v>300000</v>
      </c>
      <c r="O83" s="202"/>
      <c r="P83" s="202"/>
      <c r="Q83" s="202"/>
      <c r="R83" s="96"/>
      <c r="S83" s="164" t="s">
        <v>404</v>
      </c>
    </row>
    <row r="84" spans="1:19" ht="12" customHeight="1">
      <c r="A84" s="191" t="s">
        <v>159</v>
      </c>
      <c r="B84" s="185">
        <v>54.121</v>
      </c>
      <c r="E84" s="164">
        <v>26301</v>
      </c>
      <c r="F84" s="164">
        <v>176</v>
      </c>
      <c r="G84" s="164">
        <v>3632</v>
      </c>
      <c r="H84" s="164">
        <v>67500</v>
      </c>
      <c r="K84" s="164">
        <v>49783</v>
      </c>
      <c r="N84" s="202"/>
      <c r="O84" s="202"/>
      <c r="P84" s="202"/>
      <c r="Q84" s="202"/>
      <c r="R84" s="96"/>
      <c r="S84" s="164" t="s">
        <v>311</v>
      </c>
    </row>
    <row r="85" spans="1:18" ht="0.75" customHeight="1" hidden="1">
      <c r="A85" s="191" t="s">
        <v>160</v>
      </c>
      <c r="B85" s="185">
        <v>54.1215</v>
      </c>
      <c r="N85" s="202"/>
      <c r="P85" s="202"/>
      <c r="Q85" s="202"/>
      <c r="R85" s="96"/>
    </row>
    <row r="86" spans="1:18" ht="12.75" hidden="1">
      <c r="A86" s="191" t="s">
        <v>161</v>
      </c>
      <c r="B86" s="185">
        <v>54.1218</v>
      </c>
      <c r="O86" s="202"/>
      <c r="P86" s="202"/>
      <c r="R86" s="96"/>
    </row>
    <row r="87" spans="1:18" ht="12.75" hidden="1">
      <c r="A87" s="191" t="s">
        <v>162</v>
      </c>
      <c r="D87" s="203"/>
      <c r="E87" s="203"/>
      <c r="F87" s="203"/>
      <c r="G87" s="203"/>
      <c r="H87" s="203"/>
      <c r="I87" s="203"/>
      <c r="J87" s="203"/>
      <c r="K87" s="203"/>
      <c r="L87" s="203"/>
      <c r="N87" s="203"/>
      <c r="O87" s="204"/>
      <c r="P87" s="204"/>
      <c r="Q87" s="203"/>
      <c r="R87" s="171"/>
    </row>
    <row r="88" spans="1:18" ht="13.5" thickBot="1">
      <c r="A88" s="191" t="s">
        <v>234</v>
      </c>
      <c r="B88" s="185">
        <v>54.25</v>
      </c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205"/>
      <c r="P88" s="193"/>
      <c r="Q88" s="193"/>
      <c r="R88" s="97"/>
    </row>
    <row r="89" spans="1:18" ht="12.75">
      <c r="A89" s="194" t="s">
        <v>103</v>
      </c>
      <c r="D89" s="161">
        <f>SUM(D77:D88)</f>
        <v>87901</v>
      </c>
      <c r="E89" s="161">
        <f>SUM(E77:E88)</f>
        <v>62657</v>
      </c>
      <c r="F89" s="161">
        <f>SUM(F77:F88)</f>
        <v>38867</v>
      </c>
      <c r="G89" s="161">
        <f aca="true" t="shared" si="5" ref="G89:Q89">SUM(G77:G88)</f>
        <v>52606</v>
      </c>
      <c r="H89" s="161">
        <f>SUM(H76:H88)</f>
        <v>103432</v>
      </c>
      <c r="I89" s="161">
        <v>40698</v>
      </c>
      <c r="J89" s="161">
        <v>32484</v>
      </c>
      <c r="K89" s="161">
        <v>121495</v>
      </c>
      <c r="L89" s="161">
        <f t="shared" si="5"/>
        <v>131124</v>
      </c>
      <c r="M89" s="161">
        <f t="shared" si="5"/>
        <v>285000</v>
      </c>
      <c r="N89" s="161">
        <f t="shared" si="5"/>
        <v>387500</v>
      </c>
      <c r="O89" s="161">
        <f t="shared" si="5"/>
        <v>85000</v>
      </c>
      <c r="P89" s="161">
        <f t="shared" si="5"/>
        <v>85000</v>
      </c>
      <c r="Q89" s="161">
        <f t="shared" si="5"/>
        <v>85000</v>
      </c>
      <c r="R89" s="96">
        <f>(Q89-N89)/N89</f>
        <v>-0.7806451612903226</v>
      </c>
    </row>
    <row r="90" spans="1:18" ht="12.75">
      <c r="A90" s="194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96"/>
    </row>
    <row r="91" spans="1:18" ht="13.5" thickBot="1">
      <c r="A91" s="206" t="s">
        <v>322</v>
      </c>
      <c r="B91" s="207"/>
      <c r="C91" s="208"/>
      <c r="D91" s="209"/>
      <c r="E91" s="209"/>
      <c r="F91" s="209"/>
      <c r="G91" s="209"/>
      <c r="H91" s="209"/>
      <c r="I91" s="209">
        <v>292451</v>
      </c>
      <c r="J91" s="209">
        <v>312166</v>
      </c>
      <c r="K91" s="209">
        <v>45753</v>
      </c>
      <c r="L91" s="209"/>
      <c r="M91" s="209"/>
      <c r="N91" s="209"/>
      <c r="O91" s="209"/>
      <c r="P91" s="209"/>
      <c r="Q91" s="209"/>
      <c r="R91" s="172"/>
    </row>
    <row r="92" spans="1:18" ht="13.5" thickTop="1">
      <c r="A92" s="190" t="s">
        <v>323</v>
      </c>
      <c r="D92" s="161"/>
      <c r="E92" s="161"/>
      <c r="F92" s="161"/>
      <c r="G92" s="161"/>
      <c r="H92" s="161"/>
      <c r="I92" s="161">
        <v>933528</v>
      </c>
      <c r="J92" s="161">
        <v>993291</v>
      </c>
      <c r="K92" s="161">
        <v>1143022.48</v>
      </c>
      <c r="L92" s="161">
        <f>L91+L89+L73</f>
        <v>742329</v>
      </c>
      <c r="M92" s="161">
        <f aca="true" t="shared" si="6" ref="M92:R92">M91+M89+M73</f>
        <v>1408100</v>
      </c>
      <c r="N92" s="161">
        <f t="shared" si="6"/>
        <v>1595292</v>
      </c>
      <c r="O92" s="161">
        <f t="shared" si="6"/>
        <v>1174977</v>
      </c>
      <c r="P92" s="161">
        <f t="shared" si="6"/>
        <v>1146891.723295</v>
      </c>
      <c r="Q92" s="161">
        <f t="shared" si="6"/>
        <v>1146891.723295</v>
      </c>
      <c r="R92" s="210">
        <f t="shared" si="6"/>
        <v>-0.9014443359039979</v>
      </c>
    </row>
    <row r="93" spans="1:18" ht="12.75">
      <c r="A93" s="190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210"/>
    </row>
    <row r="94" spans="1:18" ht="12.75">
      <c r="A94" s="190" t="s">
        <v>326</v>
      </c>
      <c r="D94" s="161"/>
      <c r="E94" s="161"/>
      <c r="F94" s="161"/>
      <c r="G94" s="161"/>
      <c r="H94" s="161"/>
      <c r="I94" s="211">
        <v>-107163</v>
      </c>
      <c r="J94" s="211">
        <v>-178926</v>
      </c>
      <c r="K94" s="211">
        <v>-50834.939999999944</v>
      </c>
      <c r="L94" s="211">
        <f aca="true" t="shared" si="7" ref="L94:R94">L30-L92</f>
        <v>-296809</v>
      </c>
      <c r="M94" s="211">
        <f t="shared" si="7"/>
        <v>-517110</v>
      </c>
      <c r="N94" s="211">
        <f t="shared" si="7"/>
        <v>-766292</v>
      </c>
      <c r="O94" s="211">
        <f t="shared" si="7"/>
        <v>-331677</v>
      </c>
      <c r="P94" s="211">
        <f t="shared" si="7"/>
        <v>-303591.7232949999</v>
      </c>
      <c r="Q94" s="211">
        <f t="shared" si="7"/>
        <v>-303591.7232949999</v>
      </c>
      <c r="R94" s="210">
        <f t="shared" si="7"/>
        <v>0.9186940343358435</v>
      </c>
    </row>
    <row r="95" spans="1:18" ht="12.75">
      <c r="A95" s="190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210"/>
    </row>
    <row r="96" spans="1:18" ht="12.75">
      <c r="A96" s="190" t="s">
        <v>327</v>
      </c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96"/>
    </row>
    <row r="97" spans="1:19" ht="12.75">
      <c r="A97" s="191" t="s">
        <v>178</v>
      </c>
      <c r="B97" s="185">
        <v>36.1</v>
      </c>
      <c r="C97" s="164">
        <v>12637</v>
      </c>
      <c r="E97" s="164">
        <v>26989</v>
      </c>
      <c r="F97" s="164">
        <v>961</v>
      </c>
      <c r="G97" s="164">
        <v>478</v>
      </c>
      <c r="J97" s="164">
        <v>17250</v>
      </c>
      <c r="M97" s="164">
        <f>+L97/$L$2*12</f>
        <v>0</v>
      </c>
      <c r="R97" s="96"/>
      <c r="S97" s="141"/>
    </row>
    <row r="98" spans="1:19" ht="12.75">
      <c r="A98" s="191" t="s">
        <v>179</v>
      </c>
      <c r="B98" s="185">
        <v>36.11</v>
      </c>
      <c r="D98" s="164">
        <v>12350</v>
      </c>
      <c r="E98" s="164">
        <v>10230</v>
      </c>
      <c r="F98" s="164">
        <v>154</v>
      </c>
      <c r="H98" s="164">
        <v>327</v>
      </c>
      <c r="J98" s="164">
        <v>472</v>
      </c>
      <c r="K98" s="164">
        <v>531</v>
      </c>
      <c r="L98" s="152">
        <v>90</v>
      </c>
      <c r="M98" s="164">
        <f>+L98/$L$2*12</f>
        <v>180</v>
      </c>
      <c r="R98" s="96"/>
      <c r="S98" s="141"/>
    </row>
    <row r="99" spans="1:19" ht="12.75">
      <c r="A99" s="191" t="s">
        <v>367</v>
      </c>
      <c r="B99" s="185">
        <v>36.112</v>
      </c>
      <c r="C99" s="164">
        <v>6726</v>
      </c>
      <c r="F99" s="164">
        <v>32339</v>
      </c>
      <c r="H99" s="164">
        <v>12849</v>
      </c>
      <c r="I99" s="164">
        <v>27252</v>
      </c>
      <c r="J99" s="164">
        <v>56871</v>
      </c>
      <c r="K99" s="164">
        <v>103771</v>
      </c>
      <c r="L99" s="152">
        <v>34729</v>
      </c>
      <c r="M99" s="164">
        <f>+L99/$L$2*12</f>
        <v>69458</v>
      </c>
      <c r="N99" s="164">
        <v>100000</v>
      </c>
      <c r="O99" s="164">
        <v>70000</v>
      </c>
      <c r="P99" s="164">
        <v>70000</v>
      </c>
      <c r="Q99" s="164">
        <v>70000</v>
      </c>
      <c r="R99" s="96"/>
      <c r="S99" s="141"/>
    </row>
    <row r="100" spans="1:19" ht="12.75">
      <c r="A100" s="191" t="s">
        <v>325</v>
      </c>
      <c r="I100" s="164">
        <v>9523</v>
      </c>
      <c r="R100" s="96"/>
      <c r="S100" s="141"/>
    </row>
    <row r="101" spans="1:19" ht="13.5" thickBot="1">
      <c r="A101" s="212" t="s">
        <v>368</v>
      </c>
      <c r="B101" s="207"/>
      <c r="C101" s="208"/>
      <c r="D101" s="208"/>
      <c r="E101" s="208"/>
      <c r="F101" s="208">
        <v>7880</v>
      </c>
      <c r="G101" s="208">
        <v>13341</v>
      </c>
      <c r="H101" s="208"/>
      <c r="I101" s="208"/>
      <c r="J101" s="208">
        <v>8113</v>
      </c>
      <c r="K101" s="208"/>
      <c r="L101" s="208"/>
      <c r="M101" s="208"/>
      <c r="N101" s="208"/>
      <c r="O101" s="208"/>
      <c r="P101" s="208"/>
      <c r="Q101" s="208"/>
      <c r="R101" s="172"/>
      <c r="S101" s="141"/>
    </row>
    <row r="102" spans="1:18" ht="13.5" thickTop="1">
      <c r="A102" s="190" t="s">
        <v>324</v>
      </c>
      <c r="I102" s="161">
        <v>36775</v>
      </c>
      <c r="J102" s="161">
        <v>75874</v>
      </c>
      <c r="K102" s="161">
        <v>104302</v>
      </c>
      <c r="L102" s="161">
        <f aca="true" t="shared" si="8" ref="L102:Q102">SUM(L97:L101)</f>
        <v>34819</v>
      </c>
      <c r="M102" s="161">
        <f t="shared" si="8"/>
        <v>69638</v>
      </c>
      <c r="N102" s="161">
        <f t="shared" si="8"/>
        <v>100000</v>
      </c>
      <c r="O102" s="161">
        <f t="shared" si="8"/>
        <v>70000</v>
      </c>
      <c r="P102" s="161">
        <f t="shared" si="8"/>
        <v>70000</v>
      </c>
      <c r="Q102" s="161">
        <f t="shared" si="8"/>
        <v>70000</v>
      </c>
      <c r="R102" s="96"/>
    </row>
    <row r="103" spans="1:18" ht="12.75">
      <c r="A103" s="194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96"/>
    </row>
    <row r="104" spans="1:18" ht="12.75">
      <c r="A104" s="213" t="s">
        <v>321</v>
      </c>
      <c r="D104" s="161"/>
      <c r="E104" s="161"/>
      <c r="F104" s="161"/>
      <c r="G104" s="161"/>
      <c r="H104" s="161"/>
      <c r="I104" s="161">
        <v>324470</v>
      </c>
      <c r="J104" s="161">
        <v>334734</v>
      </c>
      <c r="K104" s="161">
        <v>145092</v>
      </c>
      <c r="L104" s="161"/>
      <c r="M104" s="67"/>
      <c r="N104" s="161"/>
      <c r="O104" s="161"/>
      <c r="P104" s="161"/>
      <c r="Q104" s="161"/>
      <c r="R104" s="96"/>
    </row>
    <row r="105" spans="1:18" ht="12.75">
      <c r="A105" s="194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96"/>
    </row>
    <row r="106" spans="1:18" ht="12.75">
      <c r="A106" s="190" t="s">
        <v>237</v>
      </c>
      <c r="D106" s="161"/>
      <c r="E106" s="161"/>
      <c r="F106" s="161"/>
      <c r="G106" s="161"/>
      <c r="H106" s="161">
        <v>803912</v>
      </c>
      <c r="I106" s="161">
        <v>965547</v>
      </c>
      <c r="J106" s="161">
        <v>993291</v>
      </c>
      <c r="K106" s="161"/>
      <c r="L106" s="161">
        <f aca="true" t="shared" si="9" ref="L106:Q106">L73+L89</f>
        <v>742329</v>
      </c>
      <c r="M106" s="161">
        <f t="shared" si="9"/>
        <v>1408100</v>
      </c>
      <c r="N106" s="161">
        <f t="shared" si="9"/>
        <v>1595292</v>
      </c>
      <c r="O106" s="161">
        <f t="shared" si="9"/>
        <v>1174977</v>
      </c>
      <c r="P106" s="161">
        <f t="shared" si="9"/>
        <v>1146891.723295</v>
      </c>
      <c r="Q106" s="161">
        <f t="shared" si="9"/>
        <v>1146891.723295</v>
      </c>
      <c r="R106" s="96"/>
    </row>
    <row r="107" spans="3:18" ht="12.75">
      <c r="C107" s="164">
        <f>SUM(C78:C89)</f>
        <v>32494</v>
      </c>
      <c r="R107" s="96"/>
    </row>
    <row r="108" spans="1:18" ht="12.75">
      <c r="A108" s="161" t="s">
        <v>273</v>
      </c>
      <c r="B108" s="167"/>
      <c r="E108" s="211">
        <v>146397</v>
      </c>
      <c r="F108" s="211"/>
      <c r="G108" s="161">
        <f>G30-G73-G89</f>
        <v>282983</v>
      </c>
      <c r="H108" s="161">
        <v>-25472</v>
      </c>
      <c r="I108" s="161">
        <v>254082</v>
      </c>
      <c r="J108" s="161">
        <v>206107</v>
      </c>
      <c r="K108" s="161">
        <v>198560</v>
      </c>
      <c r="L108" s="161">
        <f aca="true" t="shared" si="10" ref="L108:Q108">L30+L102-L73-L89</f>
        <v>-261990</v>
      </c>
      <c r="M108" s="161">
        <f t="shared" si="10"/>
        <v>-447472</v>
      </c>
      <c r="N108" s="161">
        <f t="shared" si="10"/>
        <v>-666292</v>
      </c>
      <c r="O108" s="161">
        <f t="shared" si="10"/>
        <v>-261677</v>
      </c>
      <c r="P108" s="161">
        <f t="shared" si="10"/>
        <v>-233591.72329499992</v>
      </c>
      <c r="Q108" s="161">
        <f t="shared" si="10"/>
        <v>-233591.72329499992</v>
      </c>
      <c r="R108" s="210"/>
    </row>
    <row r="109" spans="2:18" ht="12.75">
      <c r="B109" s="167"/>
      <c r="C109" s="162">
        <v>-86605</v>
      </c>
      <c r="N109" s="211"/>
      <c r="R109" s="96"/>
    </row>
    <row r="110" spans="1:18" ht="12.75">
      <c r="A110" s="163" t="s">
        <v>306</v>
      </c>
      <c r="I110" s="165">
        <v>962891</v>
      </c>
      <c r="N110" s="211"/>
      <c r="R110" s="96"/>
    </row>
    <row r="111" spans="1:18" ht="12.75">
      <c r="A111" s="163" t="s">
        <v>282</v>
      </c>
      <c r="I111" s="165">
        <v>1302221</v>
      </c>
      <c r="J111" s="164">
        <v>339330</v>
      </c>
      <c r="K111" s="148">
        <v>0.2605778896208862</v>
      </c>
      <c r="N111" s="211"/>
      <c r="R111" s="96"/>
    </row>
    <row r="112" spans="1:18" ht="12.75">
      <c r="A112" s="163" t="s">
        <v>284</v>
      </c>
      <c r="C112" s="165">
        <v>461137</v>
      </c>
      <c r="I112" s="165">
        <v>1402312</v>
      </c>
      <c r="J112" s="164">
        <v>100091</v>
      </c>
      <c r="K112" s="148">
        <v>0.07137569955901397</v>
      </c>
      <c r="N112" s="211"/>
      <c r="R112" s="96"/>
    </row>
    <row r="113" spans="1:18" ht="12.75">
      <c r="A113" s="163" t="s">
        <v>328</v>
      </c>
      <c r="B113" s="168"/>
      <c r="C113" s="160"/>
      <c r="I113" s="165">
        <v>1656394</v>
      </c>
      <c r="J113" s="164">
        <v>254082</v>
      </c>
      <c r="K113" s="148">
        <v>0.1533946633470056</v>
      </c>
      <c r="R113" s="96"/>
    </row>
    <row r="114" spans="1:18" ht="12.75">
      <c r="A114" s="163" t="s">
        <v>364</v>
      </c>
      <c r="B114" s="168"/>
      <c r="C114" s="160"/>
      <c r="I114" s="165">
        <v>1862501</v>
      </c>
      <c r="J114" s="164">
        <v>206107</v>
      </c>
      <c r="K114" s="148">
        <v>0.11066141709454115</v>
      </c>
      <c r="R114" s="96"/>
    </row>
    <row r="115" spans="1:18" ht="12.75">
      <c r="A115" s="163" t="s">
        <v>430</v>
      </c>
      <c r="B115" s="168"/>
      <c r="C115" s="160"/>
      <c r="I115" s="165">
        <v>2061061</v>
      </c>
      <c r="J115" s="164">
        <v>198560</v>
      </c>
      <c r="K115" s="148">
        <v>0.09633873039177394</v>
      </c>
      <c r="R115" s="96"/>
    </row>
    <row r="116" spans="1:18" ht="12.75">
      <c r="A116" s="163" t="s">
        <v>380</v>
      </c>
      <c r="B116" s="167"/>
      <c r="C116" s="162"/>
      <c r="I116" s="165">
        <f>I115+N108</f>
        <v>1394769</v>
      </c>
      <c r="J116" s="164">
        <f>I116-I115</f>
        <v>-666292</v>
      </c>
      <c r="K116" s="148">
        <f>J116/I116</f>
        <v>-0.4777077781338702</v>
      </c>
      <c r="R116" s="96"/>
    </row>
    <row r="117" spans="1:18" ht="12.75">
      <c r="A117" s="163" t="s">
        <v>409</v>
      </c>
      <c r="I117" s="165">
        <f>I116+Q108</f>
        <v>1161177.276705</v>
      </c>
      <c r="J117" s="164">
        <f>I117-I116</f>
        <v>-233591.72329499992</v>
      </c>
      <c r="K117" s="148">
        <f>J117/I117</f>
        <v>-0.20116801110494384</v>
      </c>
      <c r="R117" s="96"/>
    </row>
    <row r="118" spans="1:18" ht="12.75">
      <c r="A118" s="163"/>
      <c r="I118" s="165"/>
      <c r="K118" s="148"/>
      <c r="R118" s="96"/>
    </row>
    <row r="119" spans="1:18" ht="12.75">
      <c r="A119" s="160" t="s">
        <v>329</v>
      </c>
      <c r="R119" s="96"/>
    </row>
    <row r="120" spans="1:18" ht="12.75">
      <c r="A120" s="164" t="s">
        <v>288</v>
      </c>
      <c r="R120" s="96"/>
    </row>
    <row r="121" spans="1:18" ht="12.75">
      <c r="A121" s="164" t="s">
        <v>446</v>
      </c>
      <c r="R121" s="96"/>
    </row>
    <row r="122" spans="1:18" ht="12.75">
      <c r="A122" s="164" t="s">
        <v>312</v>
      </c>
      <c r="R122" s="96"/>
    </row>
    <row r="123" spans="1:18" ht="12.75">
      <c r="A123" s="214" t="s">
        <v>374</v>
      </c>
      <c r="B123" s="215"/>
      <c r="C123" s="216"/>
      <c r="D123" s="160"/>
      <c r="E123" s="160"/>
      <c r="F123" s="217"/>
      <c r="G123" s="218"/>
      <c r="H123" s="219"/>
      <c r="I123" s="219"/>
      <c r="J123" s="219"/>
      <c r="K123" s="219"/>
      <c r="M123" s="166"/>
      <c r="R123" s="148"/>
    </row>
    <row r="124" spans="1:18" ht="12.75">
      <c r="A124" s="214" t="s">
        <v>341</v>
      </c>
      <c r="R124" s="96"/>
    </row>
    <row r="125" spans="1:18" ht="12.75">
      <c r="A125" s="164" t="s">
        <v>353</v>
      </c>
      <c r="R125" s="96"/>
    </row>
    <row r="126" spans="1:18" ht="12.75">
      <c r="A126" s="164" t="s">
        <v>405</v>
      </c>
      <c r="R126" s="96"/>
    </row>
    <row r="127" ht="12.75">
      <c r="R127" s="96"/>
    </row>
    <row r="128" ht="12.75">
      <c r="R128" s="96"/>
    </row>
    <row r="129" ht="12.75">
      <c r="R129" s="96"/>
    </row>
    <row r="130" ht="12.75">
      <c r="R130" s="96"/>
    </row>
    <row r="131" ht="12.75">
      <c r="R131" s="96"/>
    </row>
    <row r="132" ht="12.75">
      <c r="R132" s="96"/>
    </row>
    <row r="133" ht="12.75">
      <c r="R133" s="96"/>
    </row>
    <row r="134" ht="12.75">
      <c r="R134" s="96"/>
    </row>
    <row r="135" ht="12.75">
      <c r="R135" s="96"/>
    </row>
    <row r="136" ht="12.75">
      <c r="R136" s="96"/>
    </row>
    <row r="137" ht="12.75">
      <c r="R137" s="96"/>
    </row>
    <row r="138" ht="12.75">
      <c r="R138" s="96"/>
    </row>
    <row r="139" ht="12.75">
      <c r="R139" s="96"/>
    </row>
    <row r="140" ht="12.75">
      <c r="R140" s="96"/>
    </row>
    <row r="141" ht="12.75">
      <c r="R141" s="96"/>
    </row>
    <row r="142" ht="12.75">
      <c r="R142" s="96"/>
    </row>
    <row r="143" ht="12.75">
      <c r="R143" s="96"/>
    </row>
    <row r="144" ht="12.75">
      <c r="R144" s="96"/>
    </row>
    <row r="145" ht="12.75">
      <c r="R145" s="96"/>
    </row>
    <row r="146" ht="12.75">
      <c r="R146" s="96"/>
    </row>
    <row r="147" ht="12.75">
      <c r="R147" s="96"/>
    </row>
    <row r="148" ht="12.75">
      <c r="R148" s="96"/>
    </row>
    <row r="149" ht="12.75">
      <c r="R149" s="96"/>
    </row>
    <row r="150" ht="12.75">
      <c r="R150" s="96"/>
    </row>
    <row r="151" ht="12.75">
      <c r="R151" s="96"/>
    </row>
    <row r="152" ht="12.75">
      <c r="R152" s="96"/>
    </row>
    <row r="153" ht="12.75">
      <c r="R153" s="96"/>
    </row>
    <row r="154" ht="12.75">
      <c r="R154" s="96"/>
    </row>
    <row r="155" ht="12.75">
      <c r="R155" s="96"/>
    </row>
    <row r="156" ht="12.75">
      <c r="R156" s="96"/>
    </row>
    <row r="157" ht="12.75">
      <c r="R157" s="96"/>
    </row>
    <row r="158" ht="12.75">
      <c r="R158" s="96"/>
    </row>
    <row r="159" ht="12.75">
      <c r="R159" s="96"/>
    </row>
    <row r="160" ht="12.75">
      <c r="R160" s="96"/>
    </row>
    <row r="161" ht="12.75">
      <c r="R161" s="96"/>
    </row>
    <row r="162" ht="12.75">
      <c r="R162" s="96"/>
    </row>
    <row r="163" ht="12.75">
      <c r="R163" s="96"/>
    </row>
    <row r="164" ht="12.75">
      <c r="R164" s="96"/>
    </row>
    <row r="165" ht="12.75">
      <c r="R165" s="96"/>
    </row>
    <row r="166" ht="12.75">
      <c r="R166" s="96"/>
    </row>
    <row r="167" ht="12.75">
      <c r="R167" s="96"/>
    </row>
    <row r="168" ht="12.75">
      <c r="R168" s="96"/>
    </row>
    <row r="169" ht="12.75">
      <c r="R169" s="96"/>
    </row>
    <row r="170" ht="12.75">
      <c r="R170" s="96"/>
    </row>
    <row r="171" ht="12.75">
      <c r="R171" s="96"/>
    </row>
    <row r="172" ht="12.75">
      <c r="R172" s="96"/>
    </row>
    <row r="173" ht="12.75">
      <c r="R173" s="96"/>
    </row>
    <row r="174" ht="12.75">
      <c r="R174" s="96"/>
    </row>
    <row r="175" ht="12.75">
      <c r="R175" s="96"/>
    </row>
    <row r="176" ht="12.75">
      <c r="R176" s="96"/>
    </row>
    <row r="177" ht="12.75">
      <c r="R177" s="96"/>
    </row>
    <row r="178" ht="12.75">
      <c r="R178" s="96"/>
    </row>
    <row r="179" ht="12.75">
      <c r="R179" s="96"/>
    </row>
    <row r="180" ht="12.75">
      <c r="R180" s="96"/>
    </row>
    <row r="181" ht="12.75">
      <c r="R181" s="96"/>
    </row>
    <row r="182" ht="12.75">
      <c r="R182" s="96"/>
    </row>
    <row r="183" ht="12.75">
      <c r="R183" s="96"/>
    </row>
    <row r="184" ht="12.75">
      <c r="R184" s="96"/>
    </row>
    <row r="185" ht="12.75">
      <c r="R185" s="96"/>
    </row>
    <row r="186" ht="12.75">
      <c r="R186" s="96"/>
    </row>
    <row r="187" ht="12.75">
      <c r="R187" s="96"/>
    </row>
    <row r="188" ht="12.75">
      <c r="R188" s="96"/>
    </row>
    <row r="189" ht="12.75">
      <c r="R189" s="96"/>
    </row>
    <row r="190" ht="12.75">
      <c r="R190" s="96"/>
    </row>
    <row r="191" ht="12.75">
      <c r="R191" s="96"/>
    </row>
    <row r="192" ht="12.75">
      <c r="R192" s="96"/>
    </row>
    <row r="193" ht="12.75">
      <c r="R193" s="96"/>
    </row>
    <row r="194" ht="12.75">
      <c r="R194" s="96"/>
    </row>
    <row r="195" ht="12.75">
      <c r="R195" s="96"/>
    </row>
    <row r="196" ht="12.75">
      <c r="R196" s="96"/>
    </row>
    <row r="197" ht="12.75">
      <c r="R197" s="96"/>
    </row>
    <row r="198" ht="12.75">
      <c r="R198" s="96"/>
    </row>
    <row r="199" ht="12.75">
      <c r="R199" s="96"/>
    </row>
    <row r="200" ht="12.75">
      <c r="R200" s="96"/>
    </row>
    <row r="201" ht="12.75">
      <c r="R201" s="96"/>
    </row>
    <row r="202" ht="12.75">
      <c r="R202" s="96"/>
    </row>
    <row r="203" ht="12.75">
      <c r="R203" s="96"/>
    </row>
    <row r="204" ht="12.75">
      <c r="R204" s="96"/>
    </row>
    <row r="205" ht="12.75">
      <c r="R205" s="96"/>
    </row>
    <row r="206" ht="12.75">
      <c r="R206" s="96"/>
    </row>
    <row r="207" ht="12.75">
      <c r="R207" s="96"/>
    </row>
    <row r="208" ht="12.75">
      <c r="R208" s="96"/>
    </row>
    <row r="209" ht="12.75">
      <c r="R209" s="96"/>
    </row>
    <row r="210" ht="12.75">
      <c r="R210" s="96"/>
    </row>
    <row r="211" ht="12.75">
      <c r="R211" s="96"/>
    </row>
    <row r="212" ht="12.75">
      <c r="R212" s="96"/>
    </row>
    <row r="213" ht="12.75">
      <c r="R213" s="96"/>
    </row>
    <row r="214" ht="12.75">
      <c r="R214" s="96"/>
    </row>
    <row r="215" ht="12.75">
      <c r="R215" s="96"/>
    </row>
    <row r="216" ht="12.75">
      <c r="R216" s="96"/>
    </row>
    <row r="217" ht="12.75">
      <c r="R217" s="96"/>
    </row>
    <row r="218" ht="12.75">
      <c r="R218" s="96"/>
    </row>
    <row r="219" ht="12.75">
      <c r="R219" s="96"/>
    </row>
    <row r="220" ht="12.75">
      <c r="R220" s="96"/>
    </row>
    <row r="221" ht="12.75">
      <c r="R221" s="96"/>
    </row>
    <row r="222" ht="12.75">
      <c r="R222" s="96"/>
    </row>
    <row r="223" ht="12.75">
      <c r="R223" s="96"/>
    </row>
    <row r="224" ht="12.75">
      <c r="R224" s="96"/>
    </row>
    <row r="225" ht="12.75">
      <c r="R225" s="96"/>
    </row>
    <row r="226" ht="12.75">
      <c r="R226" s="96"/>
    </row>
    <row r="227" ht="12.75">
      <c r="R227" s="96"/>
    </row>
    <row r="228" ht="12.75">
      <c r="R228" s="96"/>
    </row>
    <row r="229" ht="12.75">
      <c r="R229" s="96"/>
    </row>
    <row r="230" ht="12.75">
      <c r="R230" s="96"/>
    </row>
    <row r="231" ht="12.75">
      <c r="R231" s="96"/>
    </row>
    <row r="232" ht="12.75">
      <c r="R232" s="96"/>
    </row>
    <row r="233" ht="12.75">
      <c r="R233" s="96"/>
    </row>
    <row r="234" ht="12.75">
      <c r="R234" s="96"/>
    </row>
    <row r="235" ht="12.75">
      <c r="R235" s="96"/>
    </row>
    <row r="236" ht="12.75">
      <c r="R236" s="96"/>
    </row>
    <row r="237" ht="12.75">
      <c r="R237" s="96"/>
    </row>
    <row r="238" ht="12.75">
      <c r="R238" s="96"/>
    </row>
    <row r="239" ht="12.75">
      <c r="R239" s="96"/>
    </row>
    <row r="240" ht="12.75">
      <c r="R240" s="96"/>
    </row>
    <row r="241" ht="12.75">
      <c r="R241" s="96"/>
    </row>
    <row r="242" ht="12.75">
      <c r="R242" s="96"/>
    </row>
    <row r="243" ht="12.75">
      <c r="R243" s="96"/>
    </row>
    <row r="244" ht="12.75">
      <c r="R244" s="96"/>
    </row>
    <row r="245" ht="12.75">
      <c r="R245" s="96"/>
    </row>
    <row r="246" ht="12.75">
      <c r="R246" s="96"/>
    </row>
    <row r="247" ht="12.75">
      <c r="R247" s="96"/>
    </row>
    <row r="248" ht="12.75">
      <c r="R248" s="96"/>
    </row>
    <row r="249" ht="12.75">
      <c r="R249" s="96"/>
    </row>
    <row r="250" ht="12.75">
      <c r="R250" s="96"/>
    </row>
    <row r="251" ht="12.75">
      <c r="R251" s="96"/>
    </row>
    <row r="252" ht="12.75">
      <c r="R252" s="96"/>
    </row>
    <row r="253" ht="12.75">
      <c r="R253" s="96"/>
    </row>
    <row r="254" ht="12.75">
      <c r="R254" s="96"/>
    </row>
    <row r="255" ht="12.75">
      <c r="R255" s="96"/>
    </row>
    <row r="256" ht="12.75">
      <c r="R256" s="96"/>
    </row>
    <row r="257" ht="12.75">
      <c r="R257" s="96"/>
    </row>
    <row r="258" ht="12.75">
      <c r="R258" s="96"/>
    </row>
    <row r="259" ht="12.75">
      <c r="R259" s="96"/>
    </row>
    <row r="260" ht="12.75">
      <c r="R260" s="96"/>
    </row>
    <row r="261" ht="12.75">
      <c r="R261" s="96"/>
    </row>
    <row r="262" ht="12.75">
      <c r="R262" s="96"/>
    </row>
    <row r="263" ht="12.75">
      <c r="R263" s="96"/>
    </row>
    <row r="264" ht="12.75">
      <c r="R264" s="96"/>
    </row>
    <row r="265" ht="12.75">
      <c r="R265" s="96"/>
    </row>
    <row r="266" ht="12.75">
      <c r="R266" s="96"/>
    </row>
    <row r="267" ht="12.75">
      <c r="R267" s="96"/>
    </row>
    <row r="268" ht="12.75">
      <c r="R268" s="96"/>
    </row>
    <row r="269" ht="12.75">
      <c r="R269" s="96"/>
    </row>
    <row r="270" ht="12.75">
      <c r="R270" s="96"/>
    </row>
    <row r="271" ht="12.75">
      <c r="R271" s="96"/>
    </row>
    <row r="272" ht="12.75">
      <c r="R272" s="96"/>
    </row>
    <row r="273" ht="12.75">
      <c r="R273" s="96"/>
    </row>
    <row r="274" ht="12.75">
      <c r="R274" s="96"/>
    </row>
    <row r="275" ht="12.75">
      <c r="R275" s="96"/>
    </row>
    <row r="276" ht="12.75">
      <c r="R276" s="96"/>
    </row>
    <row r="277" ht="12.75">
      <c r="R277" s="96"/>
    </row>
    <row r="278" ht="12.75">
      <c r="R278" s="96"/>
    </row>
    <row r="279" ht="12.75">
      <c r="R279" s="96"/>
    </row>
    <row r="280" ht="12.75">
      <c r="R280" s="96"/>
    </row>
    <row r="281" ht="12.75">
      <c r="R281" s="96"/>
    </row>
    <row r="282" ht="12.75">
      <c r="R282" s="96"/>
    </row>
    <row r="283" ht="12.75">
      <c r="R283" s="96"/>
    </row>
    <row r="284" ht="12.75">
      <c r="R284" s="96"/>
    </row>
    <row r="285" ht="12.75">
      <c r="R285" s="96"/>
    </row>
    <row r="286" ht="12.75">
      <c r="R286" s="96"/>
    </row>
    <row r="287" ht="12.75">
      <c r="R287" s="96"/>
    </row>
    <row r="288" ht="12.75">
      <c r="R288" s="96"/>
    </row>
    <row r="289" ht="12.75">
      <c r="R289" s="96"/>
    </row>
    <row r="290" ht="12.75">
      <c r="R290" s="96"/>
    </row>
    <row r="291" ht="12.75">
      <c r="R291" s="96"/>
    </row>
    <row r="292" ht="12.75">
      <c r="R292" s="96"/>
    </row>
    <row r="293" ht="12.75">
      <c r="R293" s="96"/>
    </row>
    <row r="294" ht="12.75">
      <c r="R294" s="96"/>
    </row>
    <row r="295" ht="12.75">
      <c r="R295" s="96"/>
    </row>
    <row r="296" ht="12.75">
      <c r="R296" s="96"/>
    </row>
    <row r="297" ht="12.75">
      <c r="R297" s="96"/>
    </row>
    <row r="298" ht="12.75">
      <c r="R298" s="96"/>
    </row>
    <row r="299" ht="12.75">
      <c r="R299" s="96"/>
    </row>
    <row r="300" ht="12.75">
      <c r="R300" s="96"/>
    </row>
    <row r="301" ht="12.75">
      <c r="R301" s="96"/>
    </row>
    <row r="302" ht="12.75">
      <c r="R302" s="96"/>
    </row>
    <row r="303" ht="12.75">
      <c r="R303" s="96"/>
    </row>
    <row r="304" ht="12.75">
      <c r="R304" s="96"/>
    </row>
    <row r="305" ht="12.75">
      <c r="R305" s="96"/>
    </row>
    <row r="306" ht="12.75">
      <c r="R306" s="96"/>
    </row>
    <row r="307" ht="12.75">
      <c r="R307" s="96"/>
    </row>
    <row r="308" ht="12.75">
      <c r="R308" s="96"/>
    </row>
    <row r="309" ht="12.75">
      <c r="R309" s="96"/>
    </row>
    <row r="310" ht="12.75">
      <c r="R310" s="96"/>
    </row>
    <row r="311" ht="12.75">
      <c r="R311" s="96"/>
    </row>
    <row r="312" ht="12.75">
      <c r="R312" s="96"/>
    </row>
    <row r="313" ht="12.75">
      <c r="R313" s="96"/>
    </row>
    <row r="314" ht="12.75">
      <c r="R314" s="96"/>
    </row>
    <row r="315" ht="12.75">
      <c r="R315" s="96"/>
    </row>
    <row r="316" ht="12.75">
      <c r="R316" s="96"/>
    </row>
    <row r="317" ht="12.75">
      <c r="R317" s="96"/>
    </row>
    <row r="318" ht="12.75">
      <c r="R318" s="96"/>
    </row>
    <row r="319" ht="12.75">
      <c r="R319" s="96"/>
    </row>
    <row r="320" ht="12.75">
      <c r="R320" s="96"/>
    </row>
    <row r="321" ht="12.75">
      <c r="R321" s="96"/>
    </row>
    <row r="322" ht="12.75">
      <c r="R322" s="96"/>
    </row>
    <row r="323" ht="12.75">
      <c r="R323" s="96"/>
    </row>
    <row r="324" ht="12.75">
      <c r="R324" s="96"/>
    </row>
    <row r="325" ht="12.75">
      <c r="R325" s="96"/>
    </row>
    <row r="326" ht="12.75">
      <c r="R326" s="96"/>
    </row>
    <row r="327" ht="12.75">
      <c r="R327" s="96"/>
    </row>
    <row r="328" ht="12.75">
      <c r="R328" s="96"/>
    </row>
    <row r="329" ht="12.75">
      <c r="R329" s="96"/>
    </row>
    <row r="330" ht="12.75">
      <c r="R330" s="96"/>
    </row>
    <row r="331" ht="12.75">
      <c r="R331" s="96"/>
    </row>
    <row r="332" ht="12.75">
      <c r="R332" s="96"/>
    </row>
    <row r="333" ht="12.75">
      <c r="R333" s="96"/>
    </row>
    <row r="334" ht="12.75">
      <c r="R334" s="96"/>
    </row>
    <row r="335" ht="12.75">
      <c r="R335" s="96"/>
    </row>
    <row r="336" ht="12.75">
      <c r="R336" s="96"/>
    </row>
    <row r="337" ht="12.75">
      <c r="R337" s="96"/>
    </row>
    <row r="338" ht="12.75">
      <c r="R338" s="96"/>
    </row>
    <row r="339" ht="12.75">
      <c r="R339" s="96"/>
    </row>
    <row r="340" ht="12.75">
      <c r="R340" s="96"/>
    </row>
    <row r="341" ht="12.75">
      <c r="R341" s="96"/>
    </row>
    <row r="342" ht="12.75">
      <c r="R342" s="96"/>
    </row>
    <row r="343" ht="12.75">
      <c r="R343" s="96"/>
    </row>
    <row r="344" ht="12.75">
      <c r="R344" s="96"/>
    </row>
    <row r="345" ht="12.75">
      <c r="R345" s="96"/>
    </row>
    <row r="346" ht="12.75">
      <c r="R346" s="96"/>
    </row>
    <row r="347" ht="12.75">
      <c r="R347" s="96"/>
    </row>
    <row r="348" ht="12.75">
      <c r="R348" s="96"/>
    </row>
    <row r="349" ht="12.75">
      <c r="R349" s="96"/>
    </row>
    <row r="350" ht="12.75">
      <c r="R350" s="96"/>
    </row>
    <row r="351" ht="12.75">
      <c r="R351" s="96"/>
    </row>
    <row r="352" ht="12.75">
      <c r="R352" s="96"/>
    </row>
    <row r="353" ht="12.75">
      <c r="R353" s="96"/>
    </row>
    <row r="354" ht="12.75">
      <c r="R354" s="96"/>
    </row>
    <row r="355" ht="12.75">
      <c r="R355" s="96"/>
    </row>
    <row r="356" ht="12.75">
      <c r="R356" s="96"/>
    </row>
    <row r="357" ht="12.75">
      <c r="R357" s="96"/>
    </row>
    <row r="358" ht="12.75">
      <c r="R358" s="96"/>
    </row>
    <row r="359" ht="12.75">
      <c r="R359" s="96"/>
    </row>
    <row r="360" ht="12.75">
      <c r="R360" s="96"/>
    </row>
    <row r="361" ht="12.75">
      <c r="R361" s="96"/>
    </row>
    <row r="362" ht="12.75">
      <c r="R362" s="96"/>
    </row>
    <row r="363" ht="12.75">
      <c r="R363" s="96"/>
    </row>
    <row r="364" ht="12.75">
      <c r="R364" s="96"/>
    </row>
    <row r="365" ht="12.75">
      <c r="R365" s="96"/>
    </row>
    <row r="366" ht="12.75">
      <c r="R366" s="96"/>
    </row>
    <row r="367" ht="12.75">
      <c r="R367" s="96"/>
    </row>
    <row r="368" ht="12.75">
      <c r="R368" s="96"/>
    </row>
    <row r="369" ht="12.75">
      <c r="R369" s="96"/>
    </row>
    <row r="370" ht="12.75">
      <c r="R370" s="96"/>
    </row>
    <row r="371" ht="12.75">
      <c r="R371" s="96"/>
    </row>
    <row r="372" ht="12.75">
      <c r="R372" s="96"/>
    </row>
    <row r="373" ht="12.75">
      <c r="R373" s="96"/>
    </row>
    <row r="374" ht="12.75">
      <c r="R374" s="96"/>
    </row>
    <row r="375" ht="12.75">
      <c r="R375" s="96"/>
    </row>
    <row r="376" ht="12.75">
      <c r="R376" s="96"/>
    </row>
    <row r="377" ht="12.75">
      <c r="R377" s="96"/>
    </row>
    <row r="378" ht="12.75">
      <c r="R378" s="96"/>
    </row>
    <row r="379" ht="12.75">
      <c r="R379" s="96"/>
    </row>
    <row r="380" ht="12.75">
      <c r="R380" s="96"/>
    </row>
    <row r="381" ht="12.75">
      <c r="R381" s="96"/>
    </row>
    <row r="382" ht="12.75">
      <c r="R382" s="96"/>
    </row>
    <row r="383" ht="12.75">
      <c r="R383" s="96"/>
    </row>
    <row r="384" ht="12.75">
      <c r="R384" s="96"/>
    </row>
    <row r="385" ht="12.75">
      <c r="R385" s="96"/>
    </row>
    <row r="386" ht="12.75">
      <c r="R386" s="96"/>
    </row>
    <row r="387" ht="12.75">
      <c r="R387" s="96"/>
    </row>
    <row r="388" ht="12.75">
      <c r="R388" s="96"/>
    </row>
    <row r="389" ht="12.75">
      <c r="R389" s="96"/>
    </row>
    <row r="390" ht="12.75">
      <c r="R390" s="96"/>
    </row>
    <row r="391" ht="12.75">
      <c r="R391" s="96"/>
    </row>
    <row r="392" ht="12.75">
      <c r="R392" s="96"/>
    </row>
    <row r="393" ht="12.75">
      <c r="R393" s="96"/>
    </row>
    <row r="394" ht="12.75">
      <c r="R394" s="96"/>
    </row>
    <row r="395" ht="12.75">
      <c r="R395" s="96"/>
    </row>
    <row r="396" ht="12.75">
      <c r="R396" s="96"/>
    </row>
    <row r="397" ht="12.75">
      <c r="R397" s="96"/>
    </row>
    <row r="398" ht="12.75">
      <c r="R398" s="96"/>
    </row>
    <row r="399" ht="12.75">
      <c r="R399" s="96"/>
    </row>
    <row r="400" ht="12.75">
      <c r="R400" s="96"/>
    </row>
    <row r="401" ht="12.75">
      <c r="R401" s="96"/>
    </row>
    <row r="402" ht="12.75">
      <c r="R402" s="96"/>
    </row>
    <row r="403" ht="12.75">
      <c r="R403" s="96"/>
    </row>
    <row r="404" ht="12.75">
      <c r="R404" s="96"/>
    </row>
    <row r="405" ht="12.75">
      <c r="R405" s="96"/>
    </row>
    <row r="406" ht="12.75">
      <c r="R406" s="96"/>
    </row>
    <row r="407" ht="12.75">
      <c r="R407" s="96"/>
    </row>
    <row r="408" ht="12.75">
      <c r="R408" s="96"/>
    </row>
    <row r="409" ht="12.75">
      <c r="R409" s="96"/>
    </row>
    <row r="410" ht="12.75">
      <c r="R410" s="96"/>
    </row>
    <row r="411" ht="12.75">
      <c r="R411" s="96"/>
    </row>
    <row r="412" ht="12.75">
      <c r="R412" s="96"/>
    </row>
    <row r="413" ht="12.75">
      <c r="R413" s="96"/>
    </row>
    <row r="414" ht="12.75">
      <c r="R414" s="96"/>
    </row>
    <row r="415" ht="12.75">
      <c r="R415" s="96"/>
    </row>
    <row r="416" ht="12.75">
      <c r="R416" s="96"/>
    </row>
    <row r="417" ht="12.75">
      <c r="R417" s="96"/>
    </row>
    <row r="418" ht="12.75">
      <c r="R418" s="96"/>
    </row>
    <row r="419" ht="12.75">
      <c r="R419" s="96"/>
    </row>
    <row r="420" ht="12.75">
      <c r="R420" s="96"/>
    </row>
    <row r="421" ht="12.75">
      <c r="R421" s="96"/>
    </row>
    <row r="422" ht="12.75">
      <c r="R422" s="96"/>
    </row>
    <row r="423" ht="12.75">
      <c r="R423" s="96"/>
    </row>
    <row r="424" ht="12.75">
      <c r="R424" s="96"/>
    </row>
    <row r="425" ht="12.75">
      <c r="R425" s="96"/>
    </row>
    <row r="426" ht="12.75">
      <c r="R426" s="96"/>
    </row>
    <row r="427" ht="12.75">
      <c r="R427" s="96"/>
    </row>
    <row r="428" ht="12.75">
      <c r="R428" s="96"/>
    </row>
    <row r="429" ht="12.75">
      <c r="R429" s="96"/>
    </row>
    <row r="430" ht="12.75">
      <c r="R430" s="96"/>
    </row>
    <row r="431" ht="12.75">
      <c r="R431" s="96"/>
    </row>
    <row r="432" ht="12.75">
      <c r="R432" s="96"/>
    </row>
    <row r="433" ht="12.75">
      <c r="R433" s="96"/>
    </row>
    <row r="434" ht="12.75">
      <c r="R434" s="96"/>
    </row>
    <row r="435" ht="12.75">
      <c r="R435" s="96"/>
    </row>
    <row r="436" ht="12.75">
      <c r="R436" s="96"/>
    </row>
    <row r="437" ht="12.75">
      <c r="R437" s="96"/>
    </row>
    <row r="438" ht="12.75">
      <c r="R438" s="96"/>
    </row>
    <row r="439" ht="12.75">
      <c r="R439" s="96"/>
    </row>
    <row r="440" ht="12.75">
      <c r="R440" s="96"/>
    </row>
    <row r="441" ht="12.75">
      <c r="R441" s="96"/>
    </row>
    <row r="442" ht="12.75">
      <c r="R442" s="96"/>
    </row>
    <row r="443" ht="12.75">
      <c r="R443" s="96"/>
    </row>
    <row r="444" ht="12.75">
      <c r="R444" s="96"/>
    </row>
    <row r="445" ht="12.75">
      <c r="R445" s="96"/>
    </row>
    <row r="446" ht="12.75">
      <c r="R446" s="96"/>
    </row>
    <row r="447" ht="12.75">
      <c r="R447" s="96"/>
    </row>
    <row r="448" ht="12.75">
      <c r="R448" s="96"/>
    </row>
    <row r="449" ht="12.75">
      <c r="R449" s="96"/>
    </row>
    <row r="450" ht="12.75">
      <c r="R450" s="96"/>
    </row>
    <row r="451" ht="12.75">
      <c r="R451" s="96"/>
    </row>
    <row r="452" ht="12.75">
      <c r="R452" s="96"/>
    </row>
    <row r="453" ht="12.75">
      <c r="R453" s="96"/>
    </row>
    <row r="454" ht="12.75">
      <c r="R454" s="96"/>
    </row>
    <row r="455" ht="12.75">
      <c r="R455" s="96"/>
    </row>
    <row r="456" ht="12.75">
      <c r="R456" s="96"/>
    </row>
    <row r="457" ht="12.75">
      <c r="R457" s="96"/>
    </row>
    <row r="458" ht="12.75">
      <c r="R458" s="96"/>
    </row>
    <row r="459" ht="12.75">
      <c r="R459" s="96"/>
    </row>
    <row r="460" ht="12.75">
      <c r="R460" s="96"/>
    </row>
    <row r="461" ht="12.75">
      <c r="R461" s="96"/>
    </row>
    <row r="462" ht="12.75">
      <c r="R462" s="96"/>
    </row>
    <row r="463" ht="12.75">
      <c r="R463" s="96"/>
    </row>
    <row r="464" ht="12.75">
      <c r="R464" s="96"/>
    </row>
    <row r="465" ht="12.75">
      <c r="R465" s="96"/>
    </row>
    <row r="466" ht="12.75">
      <c r="R466" s="96"/>
    </row>
    <row r="467" ht="12.75">
      <c r="R467" s="96"/>
    </row>
    <row r="468" ht="12.75">
      <c r="R468" s="96"/>
    </row>
    <row r="469" ht="12.75">
      <c r="R469" s="96"/>
    </row>
    <row r="470" ht="12.75">
      <c r="R470" s="96"/>
    </row>
    <row r="471" ht="12.75">
      <c r="R471" s="96"/>
    </row>
    <row r="472" ht="12.75">
      <c r="R472" s="96"/>
    </row>
    <row r="473" ht="12.75">
      <c r="R473" s="96"/>
    </row>
    <row r="474" ht="12.75">
      <c r="R474" s="96"/>
    </row>
    <row r="475" ht="12.75">
      <c r="R475" s="96"/>
    </row>
    <row r="476" ht="12.75">
      <c r="R476" s="96"/>
    </row>
    <row r="477" ht="12.75">
      <c r="R477" s="96"/>
    </row>
    <row r="478" ht="12.75">
      <c r="R478" s="96"/>
    </row>
    <row r="479" ht="12.75">
      <c r="R479" s="96"/>
    </row>
    <row r="480" ht="12.75">
      <c r="R480" s="96"/>
    </row>
    <row r="481" ht="12.75">
      <c r="R481" s="96"/>
    </row>
    <row r="482" ht="12.75">
      <c r="R482" s="96"/>
    </row>
    <row r="483" ht="12.75">
      <c r="R483" s="96"/>
    </row>
    <row r="484" ht="12.75">
      <c r="R484" s="96"/>
    </row>
    <row r="485" ht="12.75">
      <c r="R485" s="96"/>
    </row>
    <row r="486" ht="12.75">
      <c r="R486" s="96"/>
    </row>
    <row r="487" ht="12.75">
      <c r="R487" s="96"/>
    </row>
    <row r="488" ht="12.75">
      <c r="R488" s="96"/>
    </row>
    <row r="489" ht="12.75">
      <c r="R489" s="96"/>
    </row>
    <row r="490" ht="12.75">
      <c r="R490" s="96"/>
    </row>
    <row r="491" ht="12.75">
      <c r="R491" s="96"/>
    </row>
    <row r="492" ht="12.75">
      <c r="R492" s="96"/>
    </row>
    <row r="493" ht="12.75">
      <c r="R493" s="96"/>
    </row>
    <row r="494" ht="12.75">
      <c r="R494" s="96"/>
    </row>
    <row r="495" ht="12.75">
      <c r="R495" s="96"/>
    </row>
    <row r="496" ht="12.75">
      <c r="R496" s="96"/>
    </row>
    <row r="497" ht="12.75">
      <c r="R497" s="96"/>
    </row>
    <row r="498" ht="12.75">
      <c r="R498" s="96"/>
    </row>
    <row r="499" ht="12.75">
      <c r="R499" s="96"/>
    </row>
    <row r="500" ht="12.75">
      <c r="R500" s="96"/>
    </row>
    <row r="501" ht="12.75">
      <c r="R501" s="96"/>
    </row>
    <row r="502" ht="12.75">
      <c r="R502" s="96"/>
    </row>
    <row r="503" ht="12.75">
      <c r="R503" s="96"/>
    </row>
    <row r="504" ht="12.75">
      <c r="R504" s="96"/>
    </row>
    <row r="505" ht="12.75">
      <c r="R505" s="96"/>
    </row>
    <row r="506" ht="12.75">
      <c r="R506" s="96"/>
    </row>
    <row r="507" ht="12.75">
      <c r="R507" s="96"/>
    </row>
    <row r="508" ht="12.75">
      <c r="R508" s="96"/>
    </row>
    <row r="509" ht="12.75">
      <c r="R509" s="96"/>
    </row>
    <row r="510" ht="12.75">
      <c r="R510" s="96"/>
    </row>
    <row r="511" ht="12.75">
      <c r="R511" s="96"/>
    </row>
    <row r="512" ht="12.75">
      <c r="R512" s="96"/>
    </row>
    <row r="513" ht="12.75">
      <c r="R513" s="96"/>
    </row>
    <row r="514" ht="12.75">
      <c r="R514" s="96"/>
    </row>
    <row r="515" ht="12.75">
      <c r="R515" s="96"/>
    </row>
    <row r="516" ht="12.75">
      <c r="R516" s="96"/>
    </row>
    <row r="517" ht="12.75">
      <c r="R517" s="96"/>
    </row>
    <row r="518" ht="12.75">
      <c r="R518" s="96"/>
    </row>
    <row r="519" ht="12.75">
      <c r="R519" s="96"/>
    </row>
    <row r="520" ht="12.75">
      <c r="R520" s="96"/>
    </row>
    <row r="521" ht="12.75">
      <c r="R521" s="96"/>
    </row>
    <row r="522" ht="12.75">
      <c r="R522" s="96"/>
    </row>
    <row r="523" ht="12.75">
      <c r="R523" s="96"/>
    </row>
    <row r="524" ht="12.75">
      <c r="R524" s="96"/>
    </row>
    <row r="525" ht="12.75">
      <c r="R525" s="96"/>
    </row>
    <row r="526" ht="12.75">
      <c r="R526" s="96"/>
    </row>
    <row r="527" ht="12.75">
      <c r="R527" s="96"/>
    </row>
    <row r="528" ht="12.75">
      <c r="R528" s="96"/>
    </row>
    <row r="529" ht="12.75">
      <c r="R529" s="96"/>
    </row>
    <row r="530" ht="12.75">
      <c r="R530" s="96"/>
    </row>
    <row r="531" ht="12.75">
      <c r="R531" s="96"/>
    </row>
    <row r="532" ht="12.75">
      <c r="R532" s="96"/>
    </row>
    <row r="533" ht="12.75">
      <c r="R533" s="96"/>
    </row>
    <row r="534" ht="12.75">
      <c r="R534" s="96"/>
    </row>
    <row r="535" ht="12.75">
      <c r="R535" s="96"/>
    </row>
    <row r="536" ht="12.75">
      <c r="R536" s="96"/>
    </row>
    <row r="537" ht="12.75">
      <c r="R537" s="96"/>
    </row>
    <row r="538" ht="12.75">
      <c r="R538" s="96"/>
    </row>
    <row r="539" ht="12.75">
      <c r="R539" s="96"/>
    </row>
    <row r="540" ht="12.75">
      <c r="R540" s="96"/>
    </row>
    <row r="541" ht="12.75">
      <c r="R541" s="96"/>
    </row>
    <row r="542" ht="12.75">
      <c r="R542" s="96"/>
    </row>
    <row r="543" ht="12.75">
      <c r="R543" s="96"/>
    </row>
    <row r="544" ht="12.75">
      <c r="R544" s="96"/>
    </row>
    <row r="545" ht="12.75">
      <c r="R545" s="96"/>
    </row>
    <row r="546" ht="12.75">
      <c r="R546" s="96"/>
    </row>
    <row r="547" ht="12.75">
      <c r="R547" s="96"/>
    </row>
    <row r="548" ht="12.75">
      <c r="R548" s="96"/>
    </row>
    <row r="549" ht="12.75">
      <c r="R549" s="96"/>
    </row>
    <row r="550" ht="12.75">
      <c r="R550" s="96"/>
    </row>
    <row r="551" ht="12.75">
      <c r="R551" s="96"/>
    </row>
    <row r="552" ht="12.75">
      <c r="R552" s="96"/>
    </row>
    <row r="553" ht="12.75">
      <c r="R553" s="96"/>
    </row>
    <row r="554" ht="12.75">
      <c r="R554" s="96"/>
    </row>
    <row r="555" ht="12.75">
      <c r="R555" s="96"/>
    </row>
    <row r="556" ht="12.75">
      <c r="R556" s="96"/>
    </row>
    <row r="557" ht="12.75">
      <c r="R557" s="96"/>
    </row>
    <row r="558" ht="12.75">
      <c r="R558" s="96"/>
    </row>
    <row r="559" ht="12.75">
      <c r="R559" s="96"/>
    </row>
    <row r="560" ht="12.75">
      <c r="R560" s="96"/>
    </row>
    <row r="561" ht="12.75">
      <c r="R561" s="96"/>
    </row>
    <row r="562" ht="12.75">
      <c r="R562" s="96"/>
    </row>
    <row r="563" ht="12.75">
      <c r="R563" s="96"/>
    </row>
    <row r="564" ht="12.75">
      <c r="R564" s="96"/>
    </row>
    <row r="565" ht="12.75">
      <c r="R565" s="96"/>
    </row>
    <row r="566" ht="12.75">
      <c r="R566" s="96"/>
    </row>
    <row r="567" ht="12.75">
      <c r="R567" s="96"/>
    </row>
    <row r="568" ht="12.75">
      <c r="R568" s="96"/>
    </row>
    <row r="569" ht="12.75">
      <c r="R569" s="96"/>
    </row>
    <row r="570" ht="12.75">
      <c r="R570" s="96"/>
    </row>
    <row r="571" ht="12.75">
      <c r="R571" s="96"/>
    </row>
    <row r="572" ht="12.75">
      <c r="R572" s="96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64" r:id="rId3"/>
  <headerFooter alignWithMargins="0">
    <oddHeader>&amp;CFY09 Special Revenue Funds</oddHeader>
    <oddFooter>&amp;CPage &amp;P of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zoomScale="75" zoomScaleNormal="75" workbookViewId="0" topLeftCell="A1">
      <selection activeCell="H44" sqref="H44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4" width="10.8515625" style="0" hidden="1" customWidth="1"/>
    <col min="5" max="6" width="11.7109375" style="0" hidden="1" customWidth="1"/>
    <col min="7" max="7" width="11.57421875" style="0" hidden="1" customWidth="1"/>
    <col min="8" max="10" width="11.7109375" style="0" customWidth="1"/>
    <col min="11" max="11" width="10.00390625" style="0" bestFit="1" customWidth="1"/>
    <col min="12" max="12" width="13.421875" style="0" bestFit="1" customWidth="1"/>
    <col min="13" max="15" width="11.7109375" style="0" customWidth="1"/>
    <col min="16" max="16" width="10.421875" style="0" bestFit="1" customWidth="1"/>
    <col min="17" max="17" width="8.00390625" style="0" customWidth="1"/>
    <col min="18" max="18" width="10.7109375" style="0" customWidth="1"/>
  </cols>
  <sheetData>
    <row r="1" spans="1:2" ht="12.75">
      <c r="A1" t="s">
        <v>0</v>
      </c>
      <c r="B1" s="21"/>
    </row>
    <row r="2" ht="12.75">
      <c r="A2" s="1" t="s">
        <v>1</v>
      </c>
    </row>
    <row r="3" spans="11:12" ht="12.75">
      <c r="K3" s="2">
        <v>6</v>
      </c>
      <c r="L3" s="3"/>
    </row>
    <row r="4" spans="3:17" ht="12.75">
      <c r="C4" s="4"/>
      <c r="D4" s="4"/>
      <c r="E4" s="4"/>
      <c r="F4" s="4"/>
      <c r="G4" s="4"/>
      <c r="H4" s="4"/>
      <c r="I4" s="4"/>
      <c r="J4" s="4"/>
      <c r="K4" s="3" t="s">
        <v>2</v>
      </c>
      <c r="L4" s="3"/>
      <c r="M4" s="4"/>
      <c r="N4" s="5" t="s">
        <v>3</v>
      </c>
      <c r="O4" s="5" t="s">
        <v>4</v>
      </c>
      <c r="P4" s="5" t="s">
        <v>5</v>
      </c>
      <c r="Q4" s="18" t="s">
        <v>86</v>
      </c>
    </row>
    <row r="5" spans="3:17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4" t="s">
        <v>6</v>
      </c>
      <c r="L5" s="4" t="s">
        <v>7</v>
      </c>
      <c r="M5" s="4" t="s">
        <v>8</v>
      </c>
      <c r="N5" s="5" t="s">
        <v>9</v>
      </c>
      <c r="O5" s="5" t="s">
        <v>10</v>
      </c>
      <c r="P5" s="5" t="s">
        <v>11</v>
      </c>
      <c r="Q5" s="18" t="s">
        <v>87</v>
      </c>
    </row>
    <row r="6" spans="1:18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145">
        <v>2008</v>
      </c>
      <c r="L6" s="145">
        <v>2008</v>
      </c>
      <c r="M6" s="145">
        <v>2008</v>
      </c>
      <c r="N6" s="145">
        <v>2009</v>
      </c>
      <c r="O6" s="145">
        <v>2009</v>
      </c>
      <c r="P6" s="145">
        <v>2009</v>
      </c>
      <c r="Q6" s="19" t="s">
        <v>406</v>
      </c>
      <c r="R6" s="7" t="s">
        <v>13</v>
      </c>
    </row>
    <row r="7" spans="1:17" ht="12.75">
      <c r="A7" s="8" t="s">
        <v>14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11" t="s">
        <v>15</v>
      </c>
      <c r="B8" s="9">
        <v>35.111</v>
      </c>
      <c r="C8" s="10">
        <v>8595</v>
      </c>
      <c r="D8" s="10">
        <v>2098</v>
      </c>
      <c r="E8" s="10">
        <v>7038</v>
      </c>
      <c r="F8" s="10">
        <v>9821</v>
      </c>
      <c r="G8" s="10">
        <v>47554</v>
      </c>
      <c r="H8" s="10">
        <f>15027+1176+75</f>
        <v>16278</v>
      </c>
      <c r="I8" s="10">
        <v>13307.14</v>
      </c>
      <c r="J8" s="10">
        <v>12315</v>
      </c>
      <c r="K8" s="10">
        <v>3465</v>
      </c>
      <c r="L8" s="10">
        <f>+K8/$K$3*12</f>
        <v>6930</v>
      </c>
      <c r="M8" s="10">
        <v>11500</v>
      </c>
      <c r="N8" s="10">
        <v>11500</v>
      </c>
      <c r="O8" s="10">
        <v>11500</v>
      </c>
      <c r="P8" s="10">
        <v>11500</v>
      </c>
      <c r="Q8" s="20">
        <f>(P8-M8)/M8</f>
        <v>0</v>
      </c>
    </row>
    <row r="9" spans="1:17" ht="12.75">
      <c r="A9" s="11" t="s">
        <v>16</v>
      </c>
      <c r="B9" s="9">
        <v>35.113</v>
      </c>
      <c r="C9" s="10"/>
      <c r="D9" s="10"/>
      <c r="E9" s="10">
        <v>750</v>
      </c>
      <c r="F9" s="10">
        <v>1115</v>
      </c>
      <c r="G9" s="10">
        <v>1500</v>
      </c>
      <c r="H9" s="10">
        <v>684</v>
      </c>
      <c r="I9" s="10">
        <v>1200</v>
      </c>
      <c r="J9" s="10">
        <v>1675</v>
      </c>
      <c r="K9" s="10">
        <v>511</v>
      </c>
      <c r="L9" s="10">
        <f>+K9/$K$3*12</f>
        <v>1022</v>
      </c>
      <c r="M9" s="10">
        <v>1000</v>
      </c>
      <c r="N9" s="10">
        <v>1000</v>
      </c>
      <c r="O9" s="10">
        <v>1000</v>
      </c>
      <c r="P9" s="10">
        <v>1000</v>
      </c>
      <c r="Q9" s="20">
        <f>(P9-M9)/M9</f>
        <v>0</v>
      </c>
    </row>
    <row r="10" spans="1:17" ht="12.75">
      <c r="A10" s="11" t="s">
        <v>17</v>
      </c>
      <c r="B10" s="9">
        <v>35.115</v>
      </c>
      <c r="C10" s="10">
        <v>5410</v>
      </c>
      <c r="D10" s="10">
        <v>2000</v>
      </c>
      <c r="E10" s="10">
        <v>2105</v>
      </c>
      <c r="F10" s="10">
        <v>1000</v>
      </c>
      <c r="G10" s="10">
        <v>500</v>
      </c>
      <c r="H10" s="10">
        <f>788+440</f>
        <v>1228</v>
      </c>
      <c r="I10" s="10">
        <v>2175.1</v>
      </c>
      <c r="J10" s="10">
        <v>3101</v>
      </c>
      <c r="K10" s="10">
        <v>957</v>
      </c>
      <c r="L10" s="10">
        <f>+K10/$K$3*12</f>
        <v>1914</v>
      </c>
      <c r="M10" s="10">
        <v>1700</v>
      </c>
      <c r="N10" s="10">
        <v>1700</v>
      </c>
      <c r="O10" s="10">
        <v>1700</v>
      </c>
      <c r="P10" s="10">
        <v>1700</v>
      </c>
      <c r="Q10" s="20">
        <f>(P10-M10)/M10</f>
        <v>0</v>
      </c>
    </row>
    <row r="11" spans="1:17" ht="12.75">
      <c r="A11" s="11" t="s">
        <v>332</v>
      </c>
      <c r="B11" s="9">
        <v>36.1</v>
      </c>
      <c r="C11" s="10">
        <v>600</v>
      </c>
      <c r="D11" s="10">
        <v>1065</v>
      </c>
      <c r="E11" s="10">
        <v>967</v>
      </c>
      <c r="F11" s="10">
        <v>675</v>
      </c>
      <c r="G11" s="10">
        <v>418</v>
      </c>
      <c r="H11" s="10">
        <v>1832</v>
      </c>
      <c r="I11" s="10">
        <v>1838.9</v>
      </c>
      <c r="J11" s="10"/>
      <c r="K11" s="169"/>
      <c r="L11" s="10">
        <f>+K11/$K$3*12</f>
        <v>0</v>
      </c>
      <c r="M11" s="10"/>
      <c r="N11" s="10"/>
      <c r="O11" s="10"/>
      <c r="P11" s="10"/>
      <c r="Q11" s="20" t="e">
        <f>(P11-M11)/M11</f>
        <v>#DIV/0!</v>
      </c>
    </row>
    <row r="12" spans="1:17" ht="12.75">
      <c r="A12" s="11" t="s">
        <v>333</v>
      </c>
      <c r="B12" s="9">
        <v>36.112</v>
      </c>
      <c r="C12" s="10"/>
      <c r="D12" s="10"/>
      <c r="E12" s="10"/>
      <c r="F12" s="10"/>
      <c r="H12" s="10"/>
      <c r="I12" s="10">
        <v>2713.52</v>
      </c>
      <c r="J12" s="10">
        <v>4920</v>
      </c>
      <c r="K12" s="10">
        <v>1761</v>
      </c>
      <c r="L12" s="10">
        <f>+K12/$K$3*12</f>
        <v>3522</v>
      </c>
      <c r="M12" s="10">
        <v>4000</v>
      </c>
      <c r="N12" s="10">
        <v>4000</v>
      </c>
      <c r="O12" s="10">
        <v>4000</v>
      </c>
      <c r="P12" s="10">
        <v>4000</v>
      </c>
      <c r="Q12" s="20"/>
    </row>
    <row r="13" spans="1:17" ht="12.75">
      <c r="A13" s="11"/>
      <c r="B13" s="9"/>
      <c r="C13" s="10"/>
      <c r="D13" s="10"/>
      <c r="E13" s="10"/>
      <c r="F13" s="10"/>
      <c r="G13" s="10">
        <v>1547</v>
      </c>
      <c r="H13" s="10"/>
      <c r="I13" s="10"/>
      <c r="J13" s="10"/>
      <c r="K13" s="10"/>
      <c r="L13" s="10"/>
      <c r="M13" s="10"/>
      <c r="N13" s="10"/>
      <c r="O13" s="10"/>
      <c r="P13" s="10"/>
      <c r="Q13" s="20"/>
    </row>
    <row r="14" spans="1:17" ht="12.75">
      <c r="A14" s="11" t="s">
        <v>19</v>
      </c>
      <c r="B14" s="9"/>
      <c r="C14" s="12">
        <f>SUM(C8:C12)</f>
        <v>14605</v>
      </c>
      <c r="D14" s="12">
        <f>SUM(D8:D12)</f>
        <v>5163</v>
      </c>
      <c r="E14" s="12">
        <v>10860</v>
      </c>
      <c r="F14" s="12">
        <v>12611</v>
      </c>
      <c r="G14" s="12">
        <v>51519</v>
      </c>
      <c r="H14" s="12">
        <v>20022</v>
      </c>
      <c r="I14" s="12">
        <v>21151</v>
      </c>
      <c r="J14" s="12">
        <v>22011</v>
      </c>
      <c r="K14" s="12">
        <f aca="true" t="shared" si="0" ref="K14:P14">SUM(K8:K13)</f>
        <v>6694</v>
      </c>
      <c r="L14" s="12">
        <f t="shared" si="0"/>
        <v>13388</v>
      </c>
      <c r="M14" s="12">
        <f t="shared" si="0"/>
        <v>18200</v>
      </c>
      <c r="N14" s="12">
        <f t="shared" si="0"/>
        <v>18200</v>
      </c>
      <c r="O14" s="12">
        <f t="shared" si="0"/>
        <v>18200</v>
      </c>
      <c r="P14" s="12">
        <f t="shared" si="0"/>
        <v>18200</v>
      </c>
      <c r="Q14" s="20">
        <f>(P14-M14)/M14</f>
        <v>0</v>
      </c>
    </row>
    <row r="15" spans="2:17" ht="12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0"/>
    </row>
    <row r="16" spans="2:17" ht="12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0"/>
    </row>
    <row r="17" spans="1:17" ht="12.75">
      <c r="A17" s="1" t="s">
        <v>20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0"/>
    </row>
    <row r="18" spans="1:17" ht="12.75">
      <c r="A18" s="11" t="s">
        <v>21</v>
      </c>
      <c r="B18" s="9">
        <v>51.11</v>
      </c>
      <c r="C18" s="10"/>
      <c r="D18" s="10">
        <v>7567</v>
      </c>
      <c r="E18" s="10"/>
      <c r="F18" s="10"/>
      <c r="G18" s="10"/>
      <c r="H18" s="10">
        <v>695</v>
      </c>
      <c r="I18" s="10">
        <v>1827.32</v>
      </c>
      <c r="J18" s="10">
        <v>2014</v>
      </c>
      <c r="K18" s="10"/>
      <c r="L18" s="10">
        <v>2000</v>
      </c>
      <c r="M18" s="10">
        <v>2000</v>
      </c>
      <c r="N18" s="10">
        <v>2000</v>
      </c>
      <c r="O18" s="10">
        <v>2000</v>
      </c>
      <c r="P18" s="10">
        <v>2000</v>
      </c>
      <c r="Q18" s="20"/>
    </row>
    <row r="19" spans="1:17" ht="12.75">
      <c r="A19" s="11" t="s">
        <v>22</v>
      </c>
      <c r="B19" s="9">
        <v>51.22</v>
      </c>
      <c r="C19" s="10"/>
      <c r="D19" s="10">
        <v>436</v>
      </c>
      <c r="E19" s="10"/>
      <c r="F19" s="10"/>
      <c r="G19" s="10"/>
      <c r="H19" s="10">
        <v>53</v>
      </c>
      <c r="I19" s="10"/>
      <c r="J19" s="10">
        <v>154</v>
      </c>
      <c r="K19" s="10"/>
      <c r="L19" s="10"/>
      <c r="M19" s="10"/>
      <c r="N19" s="10"/>
      <c r="O19" s="10"/>
      <c r="P19" s="10"/>
      <c r="Q19" s="20"/>
    </row>
    <row r="20" spans="1:17" ht="12.75">
      <c r="A20" s="11" t="s">
        <v>334</v>
      </c>
      <c r="B20" s="9">
        <v>52.37</v>
      </c>
      <c r="C20" s="10"/>
      <c r="D20" s="10"/>
      <c r="E20" s="10"/>
      <c r="F20" s="10"/>
      <c r="G20" s="10"/>
      <c r="H20" s="10"/>
      <c r="I20" s="10">
        <v>2244</v>
      </c>
      <c r="J20" s="10">
        <v>2185</v>
      </c>
      <c r="K20" s="10"/>
      <c r="L20" s="10">
        <v>2000</v>
      </c>
      <c r="M20" s="10">
        <v>2000</v>
      </c>
      <c r="N20" s="10">
        <v>2000</v>
      </c>
      <c r="O20" s="10">
        <v>2000</v>
      </c>
      <c r="P20" s="10">
        <v>2000</v>
      </c>
      <c r="Q20" s="20"/>
    </row>
    <row r="21" spans="1:17" ht="12.75">
      <c r="A21" s="11" t="s">
        <v>23</v>
      </c>
      <c r="B21" s="9">
        <v>53.171</v>
      </c>
      <c r="C21" s="10"/>
      <c r="D21" s="10">
        <v>4378</v>
      </c>
      <c r="E21" s="10"/>
      <c r="F21" s="10"/>
      <c r="G21" s="10">
        <v>2408</v>
      </c>
      <c r="H21" s="10">
        <v>11551</v>
      </c>
      <c r="I21" s="10">
        <v>15566</v>
      </c>
      <c r="J21" s="10">
        <v>9470</v>
      </c>
      <c r="K21" s="10">
        <v>7388</v>
      </c>
      <c r="L21" s="10">
        <v>15000</v>
      </c>
      <c r="M21" s="10">
        <v>15000</v>
      </c>
      <c r="N21" s="10">
        <v>15000</v>
      </c>
      <c r="O21" s="10">
        <v>15000</v>
      </c>
      <c r="P21" s="10">
        <v>15000</v>
      </c>
      <c r="Q21" s="20">
        <f>(P21-M21)/M21</f>
        <v>0</v>
      </c>
    </row>
    <row r="22" spans="1:17" ht="12.75">
      <c r="A22" s="11" t="s">
        <v>335</v>
      </c>
      <c r="B22" s="9">
        <v>54.24</v>
      </c>
      <c r="C22" s="10"/>
      <c r="D22" s="10"/>
      <c r="E22" s="10"/>
      <c r="F22" s="10"/>
      <c r="G22" s="10"/>
      <c r="H22" s="10"/>
      <c r="I22" s="10">
        <v>1600</v>
      </c>
      <c r="J22" s="10"/>
      <c r="K22" s="10"/>
      <c r="L22" s="10">
        <v>2000</v>
      </c>
      <c r="M22" s="10">
        <v>2000</v>
      </c>
      <c r="N22" s="10">
        <v>2000</v>
      </c>
      <c r="O22" s="10">
        <v>2000</v>
      </c>
      <c r="P22" s="10">
        <v>2000</v>
      </c>
      <c r="Q22" s="20"/>
    </row>
    <row r="23" spans="1:17" ht="12.75">
      <c r="A23" s="11" t="s">
        <v>24</v>
      </c>
      <c r="B23" s="9">
        <v>57.1</v>
      </c>
      <c r="C23" s="10"/>
      <c r="D23" s="10">
        <v>1500</v>
      </c>
      <c r="E23" s="10">
        <v>7752</v>
      </c>
      <c r="F23" s="10">
        <v>9260</v>
      </c>
      <c r="G23" s="10">
        <v>8722</v>
      </c>
      <c r="H23" s="10">
        <v>2623</v>
      </c>
      <c r="I23" s="10">
        <v>402</v>
      </c>
      <c r="J23" s="10">
        <v>5647</v>
      </c>
      <c r="K23" s="10"/>
      <c r="L23" s="10">
        <v>9300</v>
      </c>
      <c r="M23" s="10">
        <v>9300</v>
      </c>
      <c r="N23" s="10">
        <v>9300</v>
      </c>
      <c r="O23" s="10">
        <v>9300</v>
      </c>
      <c r="P23" s="10">
        <v>9300</v>
      </c>
      <c r="Q23" s="20">
        <f>(P23-M23)/M23</f>
        <v>0</v>
      </c>
    </row>
    <row r="24" spans="1:17" ht="12.75">
      <c r="A24" s="11" t="s">
        <v>25</v>
      </c>
      <c r="B24" s="9">
        <v>57.11</v>
      </c>
      <c r="C24" s="10"/>
      <c r="D24" s="10">
        <v>1500</v>
      </c>
      <c r="E24" s="10"/>
      <c r="F24" s="10"/>
      <c r="G24" s="10"/>
      <c r="H24" s="10"/>
      <c r="I24" s="10"/>
      <c r="J24" s="10">
        <v>6326</v>
      </c>
      <c r="K24" s="10"/>
      <c r="L24" s="10">
        <v>6000</v>
      </c>
      <c r="M24" s="10">
        <v>6000</v>
      </c>
      <c r="N24" s="10">
        <v>6000</v>
      </c>
      <c r="O24" s="10">
        <v>6000</v>
      </c>
      <c r="P24" s="10">
        <v>6000</v>
      </c>
      <c r="Q24" s="20"/>
    </row>
    <row r="25" spans="1:18" ht="12.75">
      <c r="A25" s="11"/>
      <c r="B25" s="9"/>
      <c r="C25" s="10"/>
      <c r="D25" s="10"/>
      <c r="E25" s="10"/>
      <c r="F25" s="10"/>
      <c r="G25" s="10"/>
      <c r="H25" s="10">
        <v>3693</v>
      </c>
      <c r="I25" s="10"/>
      <c r="J25" s="10"/>
      <c r="K25" s="10"/>
      <c r="L25" s="10"/>
      <c r="M25" s="10"/>
      <c r="N25" s="10"/>
      <c r="O25" s="10"/>
      <c r="P25" s="10"/>
      <c r="Q25" s="20"/>
      <c r="R25" s="13"/>
    </row>
    <row r="26" spans="1:17" ht="12.75">
      <c r="A26" s="11" t="s">
        <v>26</v>
      </c>
      <c r="B26" s="9"/>
      <c r="C26" s="12"/>
      <c r="D26" s="12">
        <f>SUM(D18:D25)</f>
        <v>15381</v>
      </c>
      <c r="E26" s="12">
        <v>7752</v>
      </c>
      <c r="F26" s="12">
        <v>9260</v>
      </c>
      <c r="G26" s="12">
        <v>11130</v>
      </c>
      <c r="H26" s="12">
        <v>18752</v>
      </c>
      <c r="I26" s="12">
        <v>21638</v>
      </c>
      <c r="J26" s="12">
        <v>25796</v>
      </c>
      <c r="K26" s="12">
        <f aca="true" t="shared" si="1" ref="K26:P26">SUM(K18:K25)</f>
        <v>7388</v>
      </c>
      <c r="L26" s="12">
        <f t="shared" si="1"/>
        <v>36300</v>
      </c>
      <c r="M26" s="12">
        <f t="shared" si="1"/>
        <v>36300</v>
      </c>
      <c r="N26" s="12">
        <f t="shared" si="1"/>
        <v>36300</v>
      </c>
      <c r="O26" s="12">
        <f t="shared" si="1"/>
        <v>36300</v>
      </c>
      <c r="P26" s="12">
        <f t="shared" si="1"/>
        <v>36300</v>
      </c>
      <c r="Q26" s="20">
        <f>(P26-M26)/M26</f>
        <v>0</v>
      </c>
    </row>
    <row r="27" spans="3:13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3:15" ht="12.75">
      <c r="M28" s="14" t="s">
        <v>27</v>
      </c>
      <c r="N28" s="14"/>
      <c r="O28" s="15">
        <f>O26-N26</f>
        <v>0</v>
      </c>
    </row>
    <row r="29" spans="13:15" ht="12.75">
      <c r="M29" s="17" t="s">
        <v>342</v>
      </c>
      <c r="N29" s="14"/>
      <c r="O29" s="15">
        <f>M26-O26</f>
        <v>0</v>
      </c>
    </row>
    <row r="30" spans="13:15" ht="12.75">
      <c r="M30" s="14" t="s">
        <v>28</v>
      </c>
      <c r="N30" s="14"/>
      <c r="O30" s="15">
        <f>P26-O26</f>
        <v>0</v>
      </c>
    </row>
    <row r="32" spans="1:16" s="141" customFormat="1" ht="12.75">
      <c r="A32" s="1" t="s">
        <v>272</v>
      </c>
      <c r="G32" s="138">
        <v>40389</v>
      </c>
      <c r="H32" s="138">
        <v>1271</v>
      </c>
      <c r="I32" s="138">
        <v>-487</v>
      </c>
      <c r="J32" s="138">
        <v>-3785</v>
      </c>
      <c r="K32" s="138">
        <f aca="true" t="shared" si="2" ref="K32:P32">K14-K26</f>
        <v>-694</v>
      </c>
      <c r="L32" s="138">
        <f t="shared" si="2"/>
        <v>-22912</v>
      </c>
      <c r="M32" s="138">
        <f t="shared" si="2"/>
        <v>-18100</v>
      </c>
      <c r="N32" s="138">
        <f t="shared" si="2"/>
        <v>-18100</v>
      </c>
      <c r="O32" s="138">
        <f>O14-O26</f>
        <v>-18100</v>
      </c>
      <c r="P32" s="138">
        <f t="shared" si="2"/>
        <v>-18100</v>
      </c>
    </row>
    <row r="33" spans="1:16" s="141" customFormat="1" ht="12.75">
      <c r="A33" s="1"/>
      <c r="G33" s="138"/>
      <c r="H33" s="138"/>
      <c r="I33" s="138"/>
      <c r="J33" s="138"/>
      <c r="K33" s="138"/>
      <c r="L33" s="138"/>
      <c r="M33" s="138"/>
      <c r="N33" s="138"/>
      <c r="O33" s="138"/>
      <c r="P33" s="138"/>
    </row>
    <row r="34" spans="1:16" s="141" customFormat="1" ht="12.75">
      <c r="A34" s="1"/>
      <c r="G34" s="138"/>
      <c r="H34" s="138"/>
      <c r="I34" s="138"/>
      <c r="J34" s="138"/>
      <c r="P34" s="138"/>
    </row>
    <row r="35" spans="1:8" ht="12.75">
      <c r="A35" s="1" t="s">
        <v>424</v>
      </c>
      <c r="H35" s="95">
        <v>40366</v>
      </c>
    </row>
    <row r="36" spans="1:8" ht="12.75">
      <c r="A36" s="1" t="s">
        <v>425</v>
      </c>
      <c r="H36" s="95">
        <v>50047</v>
      </c>
    </row>
    <row r="37" spans="1:8" ht="12.75">
      <c r="A37" s="1" t="s">
        <v>426</v>
      </c>
      <c r="H37" s="95">
        <v>52886</v>
      </c>
    </row>
    <row r="38" spans="1:10" ht="12.75">
      <c r="A38" s="1" t="s">
        <v>427</v>
      </c>
      <c r="H38" s="136">
        <v>61438</v>
      </c>
      <c r="I38" s="157">
        <v>8552</v>
      </c>
      <c r="J38" s="148">
        <v>0.1391972394934731</v>
      </c>
    </row>
    <row r="39" spans="1:10" ht="12.75">
      <c r="A39" s="1" t="s">
        <v>280</v>
      </c>
      <c r="H39" s="136">
        <v>101827</v>
      </c>
      <c r="I39" s="157">
        <v>40389</v>
      </c>
      <c r="J39" s="148">
        <v>0.39664332642619343</v>
      </c>
    </row>
    <row r="40" spans="1:10" ht="12.75">
      <c r="A40" s="1" t="s">
        <v>319</v>
      </c>
      <c r="H40" s="136">
        <v>103098</v>
      </c>
      <c r="I40" s="157">
        <v>1271</v>
      </c>
      <c r="J40" s="148">
        <v>0.012328076199344314</v>
      </c>
    </row>
    <row r="41" spans="1:10" ht="12.75">
      <c r="A41" s="1" t="s">
        <v>362</v>
      </c>
      <c r="H41" s="136">
        <v>102611</v>
      </c>
      <c r="I41" s="157">
        <v>-487</v>
      </c>
      <c r="J41" s="148">
        <v>-0.004746079854986308</v>
      </c>
    </row>
    <row r="42" spans="1:10" ht="12.75">
      <c r="A42" s="1" t="s">
        <v>428</v>
      </c>
      <c r="H42" s="136">
        <v>98825</v>
      </c>
      <c r="I42" s="157">
        <v>-3785</v>
      </c>
      <c r="J42" s="148">
        <v>-0.03829963774715156</v>
      </c>
    </row>
    <row r="43" spans="1:10" ht="12.75">
      <c r="A43" s="1" t="s">
        <v>365</v>
      </c>
      <c r="H43" s="136">
        <f>H42+M32</f>
        <v>80725</v>
      </c>
      <c r="I43" s="157">
        <f>H43-H42</f>
        <v>-18100</v>
      </c>
      <c r="J43" s="148">
        <f>I43/H43</f>
        <v>-0.22421802415608547</v>
      </c>
    </row>
    <row r="44" spans="1:10" ht="12.75">
      <c r="A44" s="1" t="s">
        <v>407</v>
      </c>
      <c r="H44" s="136">
        <f>H43+P32</f>
        <v>62625</v>
      </c>
      <c r="I44" s="157">
        <f>H44-H43</f>
        <v>-18100</v>
      </c>
      <c r="J44" s="148">
        <f>I44/H44</f>
        <v>-0.2890219560878243</v>
      </c>
    </row>
    <row r="77" spans="3:17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3:17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3:17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3:17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3:17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3:17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3" r:id="rId1"/>
  <headerFooter alignWithMargins="0">
    <oddHeader>&amp;CFY09 Special Revenue Funds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74"/>
  <sheetViews>
    <sheetView workbookViewId="0" topLeftCell="A3">
      <pane ySplit="945" topLeftCell="BM81" activePane="bottomLeft" state="split"/>
      <selection pane="topLeft" activeCell="F38" sqref="F38"/>
      <selection pane="bottomLeft" activeCell="B125" sqref="B125"/>
    </sheetView>
  </sheetViews>
  <sheetFormatPr defaultColWidth="9.140625" defaultRowHeight="12.75"/>
  <cols>
    <col min="1" max="1" width="28.7109375" style="24" customWidth="1"/>
    <col min="2" max="2" width="9.8515625" style="25" bestFit="1" customWidth="1"/>
    <col min="3" max="3" width="14.8515625" style="24" hidden="1" customWidth="1"/>
    <col min="4" max="4" width="6.57421875" style="37" hidden="1" customWidth="1"/>
    <col min="5" max="6" width="7.7109375" style="37" hidden="1" customWidth="1"/>
    <col min="7" max="9" width="7.7109375" style="37" customWidth="1"/>
    <col min="10" max="10" width="8.421875" style="35" customWidth="1"/>
    <col min="11" max="11" width="9.421875" style="24" customWidth="1"/>
    <col min="12" max="12" width="10.00390625" style="24" customWidth="1"/>
    <col min="13" max="13" width="8.28125" style="24" bestFit="1" customWidth="1"/>
    <col min="14" max="14" width="9.00390625" style="35" bestFit="1" customWidth="1"/>
    <col min="15" max="15" width="7.57421875" style="24" bestFit="1" customWidth="1"/>
    <col min="16" max="16" width="6.7109375" style="24" bestFit="1" customWidth="1"/>
    <col min="17" max="20" width="8.00390625" style="24" customWidth="1"/>
    <col min="21" max="21" width="8.00390625" style="35" customWidth="1"/>
    <col min="22" max="16384" width="8.00390625" style="24" customWidth="1"/>
  </cols>
  <sheetData>
    <row r="1" spans="1:21" s="17" customFormat="1" ht="11.25">
      <c r="A1" s="17" t="s">
        <v>0</v>
      </c>
      <c r="B1" s="21"/>
      <c r="C1" s="22" t="s">
        <v>75</v>
      </c>
      <c r="D1" s="36"/>
      <c r="E1" s="36"/>
      <c r="F1" s="36"/>
      <c r="G1" s="36"/>
      <c r="H1" s="36"/>
      <c r="I1" s="36"/>
      <c r="J1" s="41"/>
      <c r="N1" s="35"/>
      <c r="U1" s="35"/>
    </row>
    <row r="2" spans="1:21" s="17" customFormat="1" ht="11.25">
      <c r="A2" s="22" t="s">
        <v>74</v>
      </c>
      <c r="C2" s="23" t="s">
        <v>76</v>
      </c>
      <c r="D2" s="36"/>
      <c r="E2" s="36"/>
      <c r="F2" s="36"/>
      <c r="G2" s="36"/>
      <c r="H2" s="36"/>
      <c r="I2" s="36"/>
      <c r="J2" s="83"/>
      <c r="N2" s="35"/>
      <c r="U2" s="35"/>
    </row>
    <row r="3" spans="10:16" ht="11.25">
      <c r="J3" s="84">
        <v>11</v>
      </c>
      <c r="K3" s="26"/>
      <c r="M3" s="26" t="s">
        <v>78</v>
      </c>
      <c r="N3" s="81" t="s">
        <v>80</v>
      </c>
      <c r="O3" s="26" t="s">
        <v>82</v>
      </c>
      <c r="P3" s="26" t="s">
        <v>84</v>
      </c>
    </row>
    <row r="4" spans="1:16" ht="11.25">
      <c r="A4" s="27"/>
      <c r="B4" s="28"/>
      <c r="C4" s="26" t="s">
        <v>6</v>
      </c>
      <c r="D4" s="74" t="s">
        <v>6</v>
      </c>
      <c r="E4" s="74" t="s">
        <v>6</v>
      </c>
      <c r="F4" s="74" t="s">
        <v>6</v>
      </c>
      <c r="G4" s="74" t="s">
        <v>6</v>
      </c>
      <c r="H4" s="74" t="s">
        <v>6</v>
      </c>
      <c r="I4" s="74" t="s">
        <v>6</v>
      </c>
      <c r="J4" s="81" t="s">
        <v>2</v>
      </c>
      <c r="K4" s="26" t="s">
        <v>77</v>
      </c>
      <c r="L4" s="26" t="s">
        <v>8</v>
      </c>
      <c r="M4" s="26" t="s">
        <v>79</v>
      </c>
      <c r="N4" s="81" t="s">
        <v>81</v>
      </c>
      <c r="O4" s="26" t="s">
        <v>83</v>
      </c>
      <c r="P4" s="26" t="s">
        <v>85</v>
      </c>
    </row>
    <row r="5" spans="1:16" ht="12" thickBot="1">
      <c r="A5" s="27"/>
      <c r="B5" s="28"/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145">
        <v>2008</v>
      </c>
      <c r="K5" s="145">
        <v>2008</v>
      </c>
      <c r="L5" s="145">
        <v>2008</v>
      </c>
      <c r="M5" s="145">
        <v>2009</v>
      </c>
      <c r="N5" s="145">
        <v>2009</v>
      </c>
      <c r="O5" s="145">
        <v>2009</v>
      </c>
      <c r="P5" s="19" t="s">
        <v>406</v>
      </c>
    </row>
    <row r="6" spans="1:15" ht="13.5" customHeight="1">
      <c r="A6" s="61" t="s">
        <v>33</v>
      </c>
      <c r="C6" s="31"/>
      <c r="D6" s="75"/>
      <c r="E6" s="75"/>
      <c r="F6" s="75"/>
      <c r="G6" s="75"/>
      <c r="H6" s="75"/>
      <c r="I6" s="75"/>
      <c r="J6" s="75"/>
      <c r="K6" s="75"/>
      <c r="M6" s="32"/>
      <c r="N6" s="32"/>
      <c r="O6" s="32"/>
    </row>
    <row r="7" spans="1:21" ht="12.75">
      <c r="A7" s="33" t="s">
        <v>34</v>
      </c>
      <c r="B7" s="34">
        <v>31.62</v>
      </c>
      <c r="C7" s="35">
        <v>552663</v>
      </c>
      <c r="D7" s="36">
        <v>571768</v>
      </c>
      <c r="E7" s="36">
        <v>631342</v>
      </c>
      <c r="F7" s="35">
        <v>677081</v>
      </c>
      <c r="G7" s="35">
        <v>732615</v>
      </c>
      <c r="H7" s="35">
        <v>782342</v>
      </c>
      <c r="I7" s="35">
        <v>819871</v>
      </c>
      <c r="J7" s="183">
        <v>862105</v>
      </c>
      <c r="K7" s="183">
        <v>862105</v>
      </c>
      <c r="L7" s="35">
        <v>819871.22</v>
      </c>
      <c r="M7" s="183">
        <v>862105</v>
      </c>
      <c r="N7" s="183">
        <v>862105</v>
      </c>
      <c r="O7" s="183">
        <v>862105</v>
      </c>
      <c r="P7" s="96">
        <f>(O7-L7)/L7</f>
        <v>0.05151269976277498</v>
      </c>
      <c r="R7"/>
      <c r="S7"/>
      <c r="T7" s="9"/>
      <c r="U7" s="221"/>
    </row>
    <row r="8" spans="1:21" ht="12.75">
      <c r="A8" s="33" t="s">
        <v>317</v>
      </c>
      <c r="B8" s="34"/>
      <c r="C8" s="36"/>
      <c r="E8" s="37">
        <v>8910</v>
      </c>
      <c r="H8" s="37">
        <v>61092</v>
      </c>
      <c r="J8" s="36"/>
      <c r="K8" s="36"/>
      <c r="L8" s="35"/>
      <c r="M8" s="35"/>
      <c r="O8" s="35"/>
      <c r="P8" s="96"/>
      <c r="R8"/>
      <c r="S8"/>
      <c r="T8" s="9"/>
      <c r="U8" s="221"/>
    </row>
    <row r="9" spans="1:21" ht="12.75">
      <c r="A9" s="33" t="s">
        <v>263</v>
      </c>
      <c r="B9" s="34"/>
      <c r="C9" s="36"/>
      <c r="H9" s="37">
        <v>5980</v>
      </c>
      <c r="I9" s="37">
        <v>2984</v>
      </c>
      <c r="J9" s="36"/>
      <c r="K9" s="36"/>
      <c r="L9" s="35"/>
      <c r="M9" s="35"/>
      <c r="O9" s="35"/>
      <c r="P9" s="96"/>
      <c r="R9"/>
      <c r="S9"/>
      <c r="T9" s="9"/>
      <c r="U9" s="221"/>
    </row>
    <row r="10" spans="1:21" ht="12.75">
      <c r="A10" s="33" t="s">
        <v>32</v>
      </c>
      <c r="B10" s="34">
        <v>36.1</v>
      </c>
      <c r="C10" s="38">
        <v>6015</v>
      </c>
      <c r="D10" s="76">
        <v>7510</v>
      </c>
      <c r="E10" s="76">
        <v>6363</v>
      </c>
      <c r="F10" s="76">
        <v>7824</v>
      </c>
      <c r="G10" s="76">
        <v>23101</v>
      </c>
      <c r="H10" s="76">
        <f>42399+2716</f>
        <v>45115</v>
      </c>
      <c r="I10" s="76">
        <v>56341</v>
      </c>
      <c r="J10" s="39">
        <v>42274</v>
      </c>
      <c r="K10" s="38">
        <f>+J10/$J$3*12</f>
        <v>46117.09090909091</v>
      </c>
      <c r="L10" s="39">
        <v>50000</v>
      </c>
      <c r="M10" s="39">
        <v>56000</v>
      </c>
      <c r="N10" s="39">
        <v>30000</v>
      </c>
      <c r="O10" s="39">
        <v>30000</v>
      </c>
      <c r="P10" s="96">
        <f>(O10-L10)/L10</f>
        <v>-0.4</v>
      </c>
      <c r="R10"/>
      <c r="S10"/>
      <c r="T10" s="9"/>
      <c r="U10" s="221"/>
    </row>
    <row r="11" spans="1:21" ht="12.75">
      <c r="A11" s="40" t="s">
        <v>19</v>
      </c>
      <c r="C11" s="41">
        <f>SUM(C7:C10)</f>
        <v>558678</v>
      </c>
      <c r="D11" s="77">
        <v>579278</v>
      </c>
      <c r="E11" s="77">
        <v>646615</v>
      </c>
      <c r="F11" s="77">
        <v>684905</v>
      </c>
      <c r="G11" s="41">
        <v>755716</v>
      </c>
      <c r="H11" s="41">
        <f aca="true" t="shared" si="0" ref="H11:O11">SUM(H7:H10)</f>
        <v>894529</v>
      </c>
      <c r="I11" s="41">
        <v>879196</v>
      </c>
      <c r="J11" s="41">
        <f t="shared" si="0"/>
        <v>904379</v>
      </c>
      <c r="K11" s="41">
        <f t="shared" si="0"/>
        <v>908222.0909090909</v>
      </c>
      <c r="L11" s="41">
        <f t="shared" si="0"/>
        <v>869871.22</v>
      </c>
      <c r="M11" s="41">
        <f t="shared" si="0"/>
        <v>918105</v>
      </c>
      <c r="N11" s="41">
        <f>SUM(N7:N10)</f>
        <v>892105</v>
      </c>
      <c r="O11" s="41">
        <f t="shared" si="0"/>
        <v>892105</v>
      </c>
      <c r="P11" s="96">
        <f>(O11-L11)/L11</f>
        <v>0.025559852411256953</v>
      </c>
      <c r="R11"/>
      <c r="S11"/>
      <c r="T11" s="9"/>
      <c r="U11" s="221"/>
    </row>
    <row r="12" spans="2:21" s="17" customFormat="1" ht="12.75">
      <c r="B12" s="34"/>
      <c r="C12" s="24"/>
      <c r="D12" s="37"/>
      <c r="E12" s="37"/>
      <c r="F12" s="37"/>
      <c r="G12" s="37"/>
      <c r="H12" s="37"/>
      <c r="I12" s="37"/>
      <c r="J12" s="35"/>
      <c r="K12" s="36"/>
      <c r="L12" s="24"/>
      <c r="N12" s="35"/>
      <c r="P12" s="96"/>
      <c r="R12"/>
      <c r="S12"/>
      <c r="T12" s="9"/>
      <c r="U12" s="221"/>
    </row>
    <row r="13" spans="1:21" s="17" customFormat="1" ht="12.75">
      <c r="A13" s="61" t="s">
        <v>35</v>
      </c>
      <c r="B13" s="34"/>
      <c r="C13" s="24"/>
      <c r="D13" s="37"/>
      <c r="E13" s="37"/>
      <c r="F13" s="37"/>
      <c r="G13" s="37"/>
      <c r="H13" s="37"/>
      <c r="I13" s="37"/>
      <c r="J13" s="35"/>
      <c r="K13" s="36"/>
      <c r="L13" s="24"/>
      <c r="N13" s="35"/>
      <c r="P13" s="96"/>
      <c r="R13"/>
      <c r="S13"/>
      <c r="T13" s="9"/>
      <c r="U13" s="221"/>
    </row>
    <row r="14" spans="1:21" s="17" customFormat="1" ht="12.75">
      <c r="A14" s="22" t="s">
        <v>241</v>
      </c>
      <c r="B14" s="34"/>
      <c r="C14" s="24"/>
      <c r="D14" s="37"/>
      <c r="E14" s="37"/>
      <c r="F14" s="37"/>
      <c r="G14" s="37"/>
      <c r="H14" s="37"/>
      <c r="I14" s="37"/>
      <c r="J14" s="35"/>
      <c r="K14" s="36"/>
      <c r="L14" s="24"/>
      <c r="N14" s="35"/>
      <c r="P14" s="96"/>
      <c r="R14"/>
      <c r="S14"/>
      <c r="T14" s="9"/>
      <c r="U14" s="221"/>
    </row>
    <row r="15" spans="1:21" s="17" customFormat="1" ht="12.75">
      <c r="A15" s="17" t="s">
        <v>459</v>
      </c>
      <c r="B15" s="34"/>
      <c r="C15" s="24"/>
      <c r="D15" s="37"/>
      <c r="E15" s="37"/>
      <c r="F15" s="37"/>
      <c r="G15" s="37"/>
      <c r="H15" s="37"/>
      <c r="I15" s="37"/>
      <c r="J15" s="35">
        <v>10000</v>
      </c>
      <c r="K15" s="36">
        <v>10000</v>
      </c>
      <c r="L15" s="24"/>
      <c r="N15" s="35"/>
      <c r="P15" s="96"/>
      <c r="R15"/>
      <c r="S15"/>
      <c r="T15" s="9"/>
      <c r="U15" s="221"/>
    </row>
    <row r="16" spans="1:21" s="17" customFormat="1" ht="12.75">
      <c r="A16" s="17" t="s">
        <v>242</v>
      </c>
      <c r="B16" s="34">
        <v>52.361</v>
      </c>
      <c r="C16" s="24"/>
      <c r="D16" s="37"/>
      <c r="E16" s="37"/>
      <c r="F16" s="37"/>
      <c r="G16" s="175">
        <v>17900</v>
      </c>
      <c r="H16" s="175">
        <v>18772</v>
      </c>
      <c r="I16" s="175">
        <v>19196</v>
      </c>
      <c r="J16" s="176">
        <v>21774</v>
      </c>
      <c r="K16" s="176">
        <v>26292</v>
      </c>
      <c r="L16" s="41">
        <v>21723</v>
      </c>
      <c r="M16" s="220">
        <v>27000</v>
      </c>
      <c r="N16" s="41">
        <v>27000</v>
      </c>
      <c r="O16" s="41">
        <v>27000</v>
      </c>
      <c r="P16" s="96"/>
      <c r="Q16" s="17" t="s">
        <v>285</v>
      </c>
      <c r="R16"/>
      <c r="S16"/>
      <c r="T16" s="9"/>
      <c r="U16" s="221"/>
    </row>
    <row r="17" spans="2:21" s="17" customFormat="1" ht="12.75">
      <c r="B17" s="34"/>
      <c r="C17" s="24"/>
      <c r="D17" s="37"/>
      <c r="E17" s="37"/>
      <c r="F17" s="37"/>
      <c r="G17" s="175"/>
      <c r="H17" s="175"/>
      <c r="I17" s="175"/>
      <c r="J17" s="176">
        <f>SUM(J15:J16)</f>
        <v>31774</v>
      </c>
      <c r="K17" s="176">
        <f>SUM(K15:K16)</f>
        <v>36292</v>
      </c>
      <c r="L17" s="41"/>
      <c r="M17" s="220"/>
      <c r="N17" s="41"/>
      <c r="O17" s="41"/>
      <c r="P17" s="96"/>
      <c r="R17"/>
      <c r="S17"/>
      <c r="T17" s="9"/>
      <c r="U17" s="221"/>
    </row>
    <row r="18" spans="1:21" s="17" customFormat="1" ht="12.75">
      <c r="A18" s="22" t="s">
        <v>462</v>
      </c>
      <c r="B18" s="34"/>
      <c r="C18" s="24"/>
      <c r="D18" s="37"/>
      <c r="E18" s="37"/>
      <c r="F18" s="37"/>
      <c r="G18" s="175"/>
      <c r="H18" s="175"/>
      <c r="I18" s="175"/>
      <c r="J18" s="176"/>
      <c r="K18" s="176"/>
      <c r="L18" s="41"/>
      <c r="M18" s="41">
        <v>510000</v>
      </c>
      <c r="N18" s="41">
        <v>510000</v>
      </c>
      <c r="O18" s="41">
        <v>510000</v>
      </c>
      <c r="P18" s="96"/>
      <c r="Q18" s="17" t="s">
        <v>444</v>
      </c>
      <c r="R18"/>
      <c r="S18"/>
      <c r="T18" s="9"/>
      <c r="U18" s="221"/>
    </row>
    <row r="19" spans="1:21" s="17" customFormat="1" ht="12.75">
      <c r="A19" s="22"/>
      <c r="B19" s="34"/>
      <c r="C19" s="24"/>
      <c r="D19" s="37"/>
      <c r="E19" s="37"/>
      <c r="F19" s="37"/>
      <c r="G19" s="175"/>
      <c r="H19" s="175"/>
      <c r="I19" s="175"/>
      <c r="J19" s="176"/>
      <c r="K19" s="176"/>
      <c r="L19" s="41"/>
      <c r="M19" s="41"/>
      <c r="N19" s="41"/>
      <c r="O19" s="41"/>
      <c r="P19" s="96"/>
      <c r="R19"/>
      <c r="S19"/>
      <c r="T19" s="9"/>
      <c r="U19" s="221"/>
    </row>
    <row r="20" spans="1:21" s="17" customFormat="1" ht="12.75">
      <c r="A20" s="22"/>
      <c r="B20" s="34"/>
      <c r="C20" s="24"/>
      <c r="D20" s="37"/>
      <c r="E20" s="37"/>
      <c r="F20" s="37"/>
      <c r="G20" s="175"/>
      <c r="H20" s="175"/>
      <c r="I20" s="175"/>
      <c r="J20" s="176"/>
      <c r="K20" s="176"/>
      <c r="L20" s="41"/>
      <c r="M20" s="41"/>
      <c r="N20" s="41"/>
      <c r="O20" s="41"/>
      <c r="P20" s="96"/>
      <c r="R20"/>
      <c r="S20"/>
      <c r="T20" s="9"/>
      <c r="U20" s="221"/>
    </row>
    <row r="21" spans="1:21" s="17" customFormat="1" ht="12.75">
      <c r="A21" s="61"/>
      <c r="B21" s="34"/>
      <c r="C21" s="24"/>
      <c r="D21" s="37"/>
      <c r="E21" s="37"/>
      <c r="F21" s="37"/>
      <c r="G21" s="37"/>
      <c r="H21" s="37"/>
      <c r="I21" s="37"/>
      <c r="J21" s="35"/>
      <c r="K21" s="36"/>
      <c r="N21" s="35"/>
      <c r="P21" s="96"/>
      <c r="R21"/>
      <c r="S21"/>
      <c r="T21" s="9"/>
      <c r="U21" s="221"/>
    </row>
    <row r="22" spans="1:21" ht="12.75">
      <c r="A22" s="23" t="s">
        <v>88</v>
      </c>
      <c r="F22" s="37">
        <v>1545</v>
      </c>
      <c r="K22" s="36"/>
      <c r="L22" s="35"/>
      <c r="M22" s="35"/>
      <c r="O22" s="35"/>
      <c r="P22" s="96"/>
      <c r="R22"/>
      <c r="S22"/>
      <c r="T22" s="9"/>
      <c r="U22" s="221"/>
    </row>
    <row r="23" spans="1:16" ht="11.25">
      <c r="A23" s="42" t="s">
        <v>36</v>
      </c>
      <c r="B23" s="43">
        <v>51.11</v>
      </c>
      <c r="C23" s="44">
        <v>44119</v>
      </c>
      <c r="D23" s="73">
        <v>44991</v>
      </c>
      <c r="E23" s="73">
        <v>35206</v>
      </c>
      <c r="F23" s="73">
        <v>46548</v>
      </c>
      <c r="G23" s="73">
        <v>61870</v>
      </c>
      <c r="H23" s="73">
        <v>80938</v>
      </c>
      <c r="I23" s="73">
        <v>78151</v>
      </c>
      <c r="J23" s="36">
        <v>84012</v>
      </c>
      <c r="K23" s="47">
        <f aca="true" t="shared" si="1" ref="K23:K30">+J23/$J$3*12</f>
        <v>91649.45454545454</v>
      </c>
      <c r="L23" s="35">
        <v>81548.89749999999</v>
      </c>
      <c r="M23" s="35">
        <v>102784</v>
      </c>
      <c r="N23" s="35">
        <v>102783.72</v>
      </c>
      <c r="O23" s="35">
        <v>102783.72</v>
      </c>
      <c r="P23" s="96">
        <f>(O23-L23)/L23</f>
        <v>0.26039374106805074</v>
      </c>
    </row>
    <row r="24" spans="1:16" ht="11.25">
      <c r="A24" s="42" t="s">
        <v>410</v>
      </c>
      <c r="B24" s="43"/>
      <c r="C24" s="44"/>
      <c r="D24" s="73"/>
      <c r="E24" s="73"/>
      <c r="F24" s="73"/>
      <c r="G24" s="73"/>
      <c r="H24" s="73"/>
      <c r="I24" s="73">
        <v>1792</v>
      </c>
      <c r="J24" s="36"/>
      <c r="K24" s="47"/>
      <c r="L24" s="35"/>
      <c r="M24" s="35"/>
      <c r="O24" s="35"/>
      <c r="P24" s="96"/>
    </row>
    <row r="25" spans="1:16" ht="11.25" hidden="1">
      <c r="A25" s="42" t="s">
        <v>315</v>
      </c>
      <c r="B25" s="43"/>
      <c r="C25" s="44"/>
      <c r="D25" s="73"/>
      <c r="E25" s="73"/>
      <c r="F25" s="73"/>
      <c r="G25" s="73"/>
      <c r="H25" s="73"/>
      <c r="I25" s="73"/>
      <c r="K25" s="47"/>
      <c r="L25" s="35"/>
      <c r="M25" s="35"/>
      <c r="O25" s="35"/>
      <c r="P25" s="96"/>
    </row>
    <row r="26" spans="1:16" ht="11.25">
      <c r="A26" s="42" t="s">
        <v>37</v>
      </c>
      <c r="B26" s="43">
        <v>51.121</v>
      </c>
      <c r="C26" s="44">
        <v>32482</v>
      </c>
      <c r="D26" s="78">
        <v>42323</v>
      </c>
      <c r="E26" s="78">
        <v>45635</v>
      </c>
      <c r="F26" s="78">
        <v>39470</v>
      </c>
      <c r="G26" s="78">
        <v>36692</v>
      </c>
      <c r="H26" s="78">
        <v>36554</v>
      </c>
      <c r="I26" s="78">
        <v>64453</v>
      </c>
      <c r="J26" s="36">
        <v>58850</v>
      </c>
      <c r="K26" s="36">
        <v>59000</v>
      </c>
      <c r="L26" s="35">
        <v>65000</v>
      </c>
      <c r="M26" s="35">
        <v>65000</v>
      </c>
      <c r="N26" s="35">
        <v>60000</v>
      </c>
      <c r="O26" s="35">
        <v>60000</v>
      </c>
      <c r="P26" s="96">
        <f>(O26-L26)/L26</f>
        <v>-0.07692307692307693</v>
      </c>
    </row>
    <row r="27" spans="1:16" ht="11.25">
      <c r="A27" s="42" t="s">
        <v>240</v>
      </c>
      <c r="B27" s="43">
        <v>51.13</v>
      </c>
      <c r="C27" s="44"/>
      <c r="D27" s="44"/>
      <c r="E27" s="44"/>
      <c r="F27" s="44">
        <v>483</v>
      </c>
      <c r="G27" s="44">
        <v>2273</v>
      </c>
      <c r="H27" s="44">
        <v>1337</v>
      </c>
      <c r="I27" s="44">
        <v>3208</v>
      </c>
      <c r="J27" s="36">
        <v>1726</v>
      </c>
      <c r="K27" s="47">
        <f t="shared" si="1"/>
        <v>1882.909090909091</v>
      </c>
      <c r="L27" s="35">
        <v>4000</v>
      </c>
      <c r="M27" s="35">
        <v>4000</v>
      </c>
      <c r="N27" s="35">
        <v>2000</v>
      </c>
      <c r="O27" s="35">
        <v>2000</v>
      </c>
      <c r="P27" s="96"/>
    </row>
    <row r="28" spans="1:17" ht="11.25">
      <c r="A28" s="42" t="s">
        <v>443</v>
      </c>
      <c r="B28" s="43">
        <v>51.21</v>
      </c>
      <c r="C28" s="44">
        <v>2367</v>
      </c>
      <c r="D28" s="44">
        <v>2851</v>
      </c>
      <c r="E28" s="44">
        <v>1880</v>
      </c>
      <c r="F28" s="44">
        <v>2575</v>
      </c>
      <c r="G28" s="44">
        <v>6254</v>
      </c>
      <c r="H28" s="44">
        <v>6779</v>
      </c>
      <c r="I28" s="44">
        <v>7333</v>
      </c>
      <c r="J28" s="36">
        <v>10864</v>
      </c>
      <c r="K28" s="47">
        <f t="shared" si="1"/>
        <v>11851.636363636364</v>
      </c>
      <c r="L28" s="35">
        <v>8831.4</v>
      </c>
      <c r="M28" s="35">
        <v>14400</v>
      </c>
      <c r="N28" s="35">
        <f>3*4800</f>
        <v>14400</v>
      </c>
      <c r="O28" s="35">
        <f>3*4800</f>
        <v>14400</v>
      </c>
      <c r="P28" s="96">
        <f>(O28-L28)/L28</f>
        <v>0.6305455533663973</v>
      </c>
      <c r="Q28" s="24" t="s">
        <v>381</v>
      </c>
    </row>
    <row r="29" spans="1:16" ht="11.25">
      <c r="A29" s="42" t="s">
        <v>22</v>
      </c>
      <c r="B29" s="43">
        <v>51.22</v>
      </c>
      <c r="C29" s="44">
        <v>5859</v>
      </c>
      <c r="D29" s="37">
        <v>6680</v>
      </c>
      <c r="E29" s="37">
        <v>6184</v>
      </c>
      <c r="F29" s="37">
        <v>6603</v>
      </c>
      <c r="G29" s="37">
        <v>7647</v>
      </c>
      <c r="H29" s="37">
        <v>9053</v>
      </c>
      <c r="I29" s="37">
        <v>11960</v>
      </c>
      <c r="J29" s="36">
        <v>10811</v>
      </c>
      <c r="K29" s="47">
        <f t="shared" si="1"/>
        <v>11793.818181818182</v>
      </c>
      <c r="L29" s="35">
        <v>11516.990658749999</v>
      </c>
      <c r="M29" s="35">
        <v>12606</v>
      </c>
      <c r="N29" s="35">
        <f>0.0765*(N23+N26+N27)</f>
        <v>12605.95458</v>
      </c>
      <c r="O29" s="35">
        <f>0.0765*(O23+O26+O27)</f>
        <v>12605.95458</v>
      </c>
      <c r="P29" s="96">
        <f>(O29-L29)/L29</f>
        <v>0.09455281796401072</v>
      </c>
    </row>
    <row r="30" spans="1:17" ht="11.25">
      <c r="A30" s="42" t="s">
        <v>39</v>
      </c>
      <c r="B30" s="43">
        <v>51.24</v>
      </c>
      <c r="C30" s="63"/>
      <c r="D30" s="79"/>
      <c r="E30" s="79"/>
      <c r="F30" s="79">
        <v>1883</v>
      </c>
      <c r="G30" s="79">
        <v>2935</v>
      </c>
      <c r="H30" s="79">
        <v>7629</v>
      </c>
      <c r="I30" s="79">
        <v>8439</v>
      </c>
      <c r="J30" s="36">
        <v>9904</v>
      </c>
      <c r="K30" s="47">
        <f t="shared" si="1"/>
        <v>10804.363636363636</v>
      </c>
      <c r="L30" s="64">
        <v>14000</v>
      </c>
      <c r="M30" s="64">
        <v>10000</v>
      </c>
      <c r="N30" s="64">
        <v>10000</v>
      </c>
      <c r="O30" s="64">
        <v>10000</v>
      </c>
      <c r="P30" s="96">
        <f>(O30-L30)/L30</f>
        <v>-0.2857142857142857</v>
      </c>
      <c r="Q30" s="24" t="s">
        <v>243</v>
      </c>
    </row>
    <row r="31" spans="1:16" ht="10.5" customHeight="1">
      <c r="A31" s="42" t="s">
        <v>399</v>
      </c>
      <c r="B31" s="43">
        <v>51.27</v>
      </c>
      <c r="C31" s="63"/>
      <c r="D31" s="79"/>
      <c r="E31" s="79"/>
      <c r="F31" s="79"/>
      <c r="G31" s="79"/>
      <c r="H31" s="79"/>
      <c r="I31" s="79">
        <v>11817</v>
      </c>
      <c r="J31" s="36">
        <v>23049</v>
      </c>
      <c r="K31" s="47">
        <v>25000</v>
      </c>
      <c r="L31" s="64"/>
      <c r="M31" s="64">
        <v>25000</v>
      </c>
      <c r="N31" s="64">
        <v>25000</v>
      </c>
      <c r="O31" s="64">
        <v>25000</v>
      </c>
      <c r="P31" s="96"/>
    </row>
    <row r="32" spans="1:16" ht="11.25" hidden="1">
      <c r="A32" s="42" t="s">
        <v>40</v>
      </c>
      <c r="B32" s="43">
        <v>52.12</v>
      </c>
      <c r="C32" s="44"/>
      <c r="E32" s="37">
        <v>1050</v>
      </c>
      <c r="F32" s="37">
        <v>1710</v>
      </c>
      <c r="K32" s="47">
        <f aca="true" t="shared" si="2" ref="K32:K56">+J32/$J$3*12</f>
        <v>0</v>
      </c>
      <c r="L32" s="35"/>
      <c r="M32" s="35"/>
      <c r="O32" s="35"/>
      <c r="P32" s="96"/>
    </row>
    <row r="33" spans="1:16" ht="11.25">
      <c r="A33" s="42" t="s">
        <v>318</v>
      </c>
      <c r="B33" s="43"/>
      <c r="C33" s="44"/>
      <c r="H33" s="37">
        <v>155</v>
      </c>
      <c r="K33" s="47">
        <f t="shared" si="2"/>
        <v>0</v>
      </c>
      <c r="L33" s="35"/>
      <c r="M33" s="35"/>
      <c r="O33" s="35"/>
      <c r="P33" s="96"/>
    </row>
    <row r="34" spans="1:16" ht="11.25">
      <c r="A34" s="42" t="s">
        <v>431</v>
      </c>
      <c r="B34" s="43">
        <v>51.1261</v>
      </c>
      <c r="C34" s="44"/>
      <c r="J34" s="35">
        <v>1216</v>
      </c>
      <c r="K34" s="47">
        <v>1216</v>
      </c>
      <c r="L34" s="35"/>
      <c r="M34" s="35"/>
      <c r="O34" s="35"/>
      <c r="P34" s="96"/>
    </row>
    <row r="35" spans="1:16" ht="11.25">
      <c r="A35" s="42" t="s">
        <v>41</v>
      </c>
      <c r="B35" s="43">
        <v>52.211</v>
      </c>
      <c r="C35" s="44">
        <v>138</v>
      </c>
      <c r="D35" s="37">
        <v>129</v>
      </c>
      <c r="E35" s="37">
        <v>144</v>
      </c>
      <c r="F35" s="37">
        <v>150</v>
      </c>
      <c r="G35" s="37">
        <v>136</v>
      </c>
      <c r="H35" s="37">
        <v>147</v>
      </c>
      <c r="I35" s="37">
        <v>213</v>
      </c>
      <c r="J35" s="59">
        <v>177</v>
      </c>
      <c r="K35" s="47">
        <f t="shared" si="2"/>
        <v>193.09090909090907</v>
      </c>
      <c r="L35" s="35">
        <v>150</v>
      </c>
      <c r="M35" s="35">
        <v>150</v>
      </c>
      <c r="N35" s="35">
        <v>150</v>
      </c>
      <c r="O35" s="35">
        <v>150</v>
      </c>
      <c r="P35" s="96">
        <f>(O35-L35)/L35</f>
        <v>0</v>
      </c>
    </row>
    <row r="36" spans="1:16" ht="11.25">
      <c r="A36" s="42" t="s">
        <v>42</v>
      </c>
      <c r="B36" s="43">
        <v>52.2206</v>
      </c>
      <c r="C36" s="44">
        <v>73</v>
      </c>
      <c r="D36" s="37">
        <v>1758</v>
      </c>
      <c r="E36" s="37">
        <v>978</v>
      </c>
      <c r="F36" s="37">
        <v>215</v>
      </c>
      <c r="G36" s="37">
        <v>2361</v>
      </c>
      <c r="H36" s="37">
        <v>2334</v>
      </c>
      <c r="I36" s="37">
        <v>2324</v>
      </c>
      <c r="J36" s="59">
        <v>337</v>
      </c>
      <c r="K36" s="47">
        <f t="shared" si="2"/>
        <v>367.6363636363636</v>
      </c>
      <c r="L36" s="35">
        <v>2400</v>
      </c>
      <c r="M36" s="35">
        <v>2400</v>
      </c>
      <c r="N36" s="35">
        <v>2400</v>
      </c>
      <c r="O36" s="35">
        <v>2400</v>
      </c>
      <c r="P36" s="96">
        <f>(O36-L36)/L36</f>
        <v>0</v>
      </c>
    </row>
    <row r="37" spans="1:16" ht="11.25">
      <c r="A37" s="42" t="s">
        <v>43</v>
      </c>
      <c r="B37" s="43">
        <v>52.32</v>
      </c>
      <c r="C37" s="44">
        <v>806</v>
      </c>
      <c r="D37" s="37">
        <v>972</v>
      </c>
      <c r="E37" s="37">
        <v>1000</v>
      </c>
      <c r="F37" s="37">
        <v>1177</v>
      </c>
      <c r="G37" s="37">
        <v>1999</v>
      </c>
      <c r="H37" s="37">
        <v>5943</v>
      </c>
      <c r="I37" s="37">
        <v>6173</v>
      </c>
      <c r="J37" s="59">
        <v>5929</v>
      </c>
      <c r="K37" s="47">
        <f t="shared" si="2"/>
        <v>6468</v>
      </c>
      <c r="L37" s="35">
        <v>5500</v>
      </c>
      <c r="M37" s="35">
        <v>6200</v>
      </c>
      <c r="N37" s="35">
        <v>6200</v>
      </c>
      <c r="O37" s="35">
        <v>6200</v>
      </c>
      <c r="P37" s="96">
        <f>(O37-L37)/L37</f>
        <v>0.12727272727272726</v>
      </c>
    </row>
    <row r="38" spans="1:16" ht="11.25">
      <c r="A38" s="42" t="s">
        <v>44</v>
      </c>
      <c r="B38" s="43">
        <v>52.321</v>
      </c>
      <c r="C38" s="44">
        <v>167</v>
      </c>
      <c r="D38" s="37">
        <v>218</v>
      </c>
      <c r="E38" s="37">
        <v>124</v>
      </c>
      <c r="F38" s="37">
        <v>305</v>
      </c>
      <c r="G38" s="37">
        <v>190</v>
      </c>
      <c r="H38" s="37">
        <v>81</v>
      </c>
      <c r="I38" s="37">
        <v>39</v>
      </c>
      <c r="J38" s="59">
        <v>15</v>
      </c>
      <c r="K38" s="47">
        <f t="shared" si="2"/>
        <v>16.363636363636363</v>
      </c>
      <c r="L38" s="35">
        <v>100</v>
      </c>
      <c r="M38" s="35">
        <v>100</v>
      </c>
      <c r="N38" s="35">
        <v>100</v>
      </c>
      <c r="O38" s="35">
        <v>100</v>
      </c>
      <c r="P38" s="96">
        <f>(O38-L38)/L38</f>
        <v>0</v>
      </c>
    </row>
    <row r="39" spans="1:16" ht="10.5" customHeight="1">
      <c r="A39" s="42" t="s">
        <v>45</v>
      </c>
      <c r="B39" s="43">
        <v>52.35</v>
      </c>
      <c r="C39" s="44">
        <v>821</v>
      </c>
      <c r="D39" s="37">
        <v>164</v>
      </c>
      <c r="E39" s="37">
        <v>94</v>
      </c>
      <c r="F39" s="37">
        <v>34</v>
      </c>
      <c r="G39" s="37">
        <v>5</v>
      </c>
      <c r="H39" s="37">
        <v>526</v>
      </c>
      <c r="I39" s="37">
        <v>5</v>
      </c>
      <c r="J39" s="59"/>
      <c r="K39" s="47">
        <f t="shared" si="2"/>
        <v>0</v>
      </c>
      <c r="L39" s="35">
        <v>500</v>
      </c>
      <c r="M39" s="35">
        <v>1000</v>
      </c>
      <c r="N39" s="35">
        <v>1000</v>
      </c>
      <c r="O39" s="35">
        <v>1000</v>
      </c>
      <c r="P39" s="96">
        <f>(O39-L39)/L39</f>
        <v>1</v>
      </c>
    </row>
    <row r="40" spans="1:16" ht="11.25">
      <c r="A40" s="42" t="s">
        <v>92</v>
      </c>
      <c r="B40" s="43">
        <v>52.36</v>
      </c>
      <c r="C40" s="44"/>
      <c r="D40" s="37">
        <v>115</v>
      </c>
      <c r="J40" s="35">
        <v>150</v>
      </c>
      <c r="K40" s="47">
        <f t="shared" si="2"/>
        <v>163.63636363636363</v>
      </c>
      <c r="L40" s="35"/>
      <c r="M40" s="35">
        <v>150</v>
      </c>
      <c r="N40" s="35">
        <v>150</v>
      </c>
      <c r="O40" s="35">
        <v>150</v>
      </c>
      <c r="P40" s="96"/>
    </row>
    <row r="41" spans="1:16" ht="11.25">
      <c r="A41" s="42" t="s">
        <v>46</v>
      </c>
      <c r="B41" s="43">
        <v>52.37</v>
      </c>
      <c r="C41" s="63">
        <v>140</v>
      </c>
      <c r="D41" s="79">
        <v>100</v>
      </c>
      <c r="E41" s="79">
        <v>132</v>
      </c>
      <c r="F41" s="79">
        <v>30</v>
      </c>
      <c r="G41" s="79">
        <v>402</v>
      </c>
      <c r="H41" s="79">
        <v>1008</v>
      </c>
      <c r="I41" s="79">
        <v>533</v>
      </c>
      <c r="J41" s="59">
        <v>866</v>
      </c>
      <c r="K41" s="47">
        <f t="shared" si="2"/>
        <v>944.7272727272727</v>
      </c>
      <c r="L41" s="64">
        <v>1000</v>
      </c>
      <c r="M41" s="64">
        <v>2000</v>
      </c>
      <c r="N41" s="64">
        <v>1000</v>
      </c>
      <c r="O41" s="64">
        <v>1000</v>
      </c>
      <c r="P41" s="96">
        <f aca="true" t="shared" si="3" ref="P41:P56">(O41-L41)/L41</f>
        <v>0</v>
      </c>
    </row>
    <row r="42" spans="1:21" s="17" customFormat="1" ht="11.25">
      <c r="A42" s="42" t="s">
        <v>47</v>
      </c>
      <c r="B42" s="43">
        <v>53.12</v>
      </c>
      <c r="C42" s="44">
        <v>13412</v>
      </c>
      <c r="D42" s="36">
        <v>12373</v>
      </c>
      <c r="E42" s="36">
        <v>14430</v>
      </c>
      <c r="F42" s="36">
        <v>14830</v>
      </c>
      <c r="G42" s="36">
        <v>16264</v>
      </c>
      <c r="H42" s="36">
        <v>19082</v>
      </c>
      <c r="I42" s="36">
        <v>19171</v>
      </c>
      <c r="J42" s="36">
        <v>24452</v>
      </c>
      <c r="K42" s="47">
        <f t="shared" si="2"/>
        <v>26674.909090909092</v>
      </c>
      <c r="L42" s="35">
        <v>20000</v>
      </c>
      <c r="M42" s="35">
        <v>37000</v>
      </c>
      <c r="N42" s="35">
        <v>37000</v>
      </c>
      <c r="O42" s="35">
        <v>37000</v>
      </c>
      <c r="P42" s="96">
        <f t="shared" si="3"/>
        <v>0.85</v>
      </c>
      <c r="U42" s="35"/>
    </row>
    <row r="43" spans="1:21" s="17" customFormat="1" ht="11.25">
      <c r="A43" s="42" t="s">
        <v>48</v>
      </c>
      <c r="B43" s="43">
        <v>53.135</v>
      </c>
      <c r="C43" s="44">
        <v>1296</v>
      </c>
      <c r="D43" s="36">
        <v>1428</v>
      </c>
      <c r="E43" s="36">
        <v>1827</v>
      </c>
      <c r="F43" s="36">
        <v>1825</v>
      </c>
      <c r="G43" s="36">
        <v>1865</v>
      </c>
      <c r="H43" s="36">
        <v>1826</v>
      </c>
      <c r="I43" s="36">
        <v>2107</v>
      </c>
      <c r="J43" s="36">
        <v>2325</v>
      </c>
      <c r="K43" s="47">
        <v>2325</v>
      </c>
      <c r="L43" s="35">
        <v>2000</v>
      </c>
      <c r="M43" s="35">
        <v>2000</v>
      </c>
      <c r="N43" s="35">
        <v>2000</v>
      </c>
      <c r="O43" s="35">
        <v>2000</v>
      </c>
      <c r="P43" s="96">
        <f t="shared" si="3"/>
        <v>0</v>
      </c>
      <c r="U43" s="35"/>
    </row>
    <row r="44" spans="1:21" s="17" customFormat="1" ht="11.25">
      <c r="A44" s="42" t="s">
        <v>49</v>
      </c>
      <c r="B44" s="43">
        <v>53.14</v>
      </c>
      <c r="C44" s="44"/>
      <c r="D44" s="36">
        <v>1753</v>
      </c>
      <c r="E44" s="36"/>
      <c r="F44" s="36">
        <v>816</v>
      </c>
      <c r="G44" s="36">
        <v>886</v>
      </c>
      <c r="H44" s="36"/>
      <c r="I44" s="36">
        <v>185</v>
      </c>
      <c r="J44" s="36"/>
      <c r="K44" s="47">
        <v>500</v>
      </c>
      <c r="L44" s="35">
        <v>500</v>
      </c>
      <c r="M44" s="35">
        <v>500</v>
      </c>
      <c r="N44" s="35">
        <v>250</v>
      </c>
      <c r="O44" s="35">
        <v>250</v>
      </c>
      <c r="P44" s="96">
        <f t="shared" si="3"/>
        <v>-0.5</v>
      </c>
      <c r="U44" s="35"/>
    </row>
    <row r="45" spans="1:21" s="17" customFormat="1" ht="12.75">
      <c r="A45" s="42" t="s">
        <v>23</v>
      </c>
      <c r="B45" s="43">
        <v>53.171</v>
      </c>
      <c r="C45" s="44">
        <v>1402</v>
      </c>
      <c r="D45" s="36">
        <v>370</v>
      </c>
      <c r="E45" s="36">
        <v>1758</v>
      </c>
      <c r="F45" s="36">
        <v>1133</v>
      </c>
      <c r="G45" s="36">
        <v>1556</v>
      </c>
      <c r="H45" s="36">
        <v>1431</v>
      </c>
      <c r="I45" s="36">
        <v>1825</v>
      </c>
      <c r="J45" s="36">
        <v>883</v>
      </c>
      <c r="K45" s="47">
        <f t="shared" si="2"/>
        <v>963.2727272727273</v>
      </c>
      <c r="L45" s="35">
        <v>1600</v>
      </c>
      <c r="M45" s="35">
        <v>1600</v>
      </c>
      <c r="N45" s="35">
        <v>1100</v>
      </c>
      <c r="O45" s="35">
        <v>1100</v>
      </c>
      <c r="P45" s="96">
        <f t="shared" si="3"/>
        <v>-0.3125</v>
      </c>
      <c r="R45"/>
      <c r="S45"/>
      <c r="T45"/>
      <c r="U45" s="221" t="s">
        <v>201</v>
      </c>
    </row>
    <row r="46" spans="1:16" s="17" customFormat="1" ht="11.25">
      <c r="A46" s="42" t="s">
        <v>50</v>
      </c>
      <c r="B46" s="43">
        <v>53.172</v>
      </c>
      <c r="C46" s="44">
        <v>10044</v>
      </c>
      <c r="D46" s="36">
        <v>11201</v>
      </c>
      <c r="E46" s="36">
        <v>5931</v>
      </c>
      <c r="F46" s="36">
        <v>12706</v>
      </c>
      <c r="G46" s="36">
        <v>10820</v>
      </c>
      <c r="H46" s="36">
        <v>11752</v>
      </c>
      <c r="I46" s="36">
        <v>11627</v>
      </c>
      <c r="J46" s="36">
        <v>7020</v>
      </c>
      <c r="K46" s="47">
        <f t="shared" si="2"/>
        <v>7658.181818181818</v>
      </c>
      <c r="L46" s="35">
        <v>12000</v>
      </c>
      <c r="M46" s="35">
        <v>12000</v>
      </c>
      <c r="N46" s="35">
        <v>10000</v>
      </c>
      <c r="O46" s="35">
        <v>10000</v>
      </c>
      <c r="P46" s="96">
        <f t="shared" si="3"/>
        <v>-0.16666666666666666</v>
      </c>
    </row>
    <row r="47" spans="1:16" s="17" customFormat="1" ht="11.25">
      <c r="A47" s="42" t="s">
        <v>51</v>
      </c>
      <c r="B47" s="43">
        <v>53.1725</v>
      </c>
      <c r="C47" s="44">
        <v>1985</v>
      </c>
      <c r="D47" s="36">
        <v>3684</v>
      </c>
      <c r="E47" s="36">
        <v>2998</v>
      </c>
      <c r="F47" s="36">
        <v>15281</v>
      </c>
      <c r="G47" s="36">
        <v>14912</v>
      </c>
      <c r="H47" s="36">
        <v>17522</v>
      </c>
      <c r="I47" s="36">
        <v>13898</v>
      </c>
      <c r="J47" s="36">
        <v>899</v>
      </c>
      <c r="K47" s="47">
        <f t="shared" si="2"/>
        <v>980.7272727272727</v>
      </c>
      <c r="L47" s="35">
        <v>15000</v>
      </c>
      <c r="M47" s="35">
        <v>15000</v>
      </c>
      <c r="N47" s="35">
        <v>15000</v>
      </c>
      <c r="O47" s="35">
        <v>15000</v>
      </c>
      <c r="P47" s="96">
        <f t="shared" si="3"/>
        <v>0</v>
      </c>
    </row>
    <row r="48" spans="1:16" s="17" customFormat="1" ht="11.25">
      <c r="A48" s="42" t="s">
        <v>433</v>
      </c>
      <c r="B48" s="43"/>
      <c r="C48" s="44"/>
      <c r="D48" s="36"/>
      <c r="E48" s="36"/>
      <c r="F48" s="36"/>
      <c r="G48" s="36"/>
      <c r="H48" s="36"/>
      <c r="I48" s="36"/>
      <c r="J48" s="36">
        <v>460</v>
      </c>
      <c r="K48" s="47">
        <f t="shared" si="2"/>
        <v>501.81818181818187</v>
      </c>
      <c r="L48" s="35"/>
      <c r="M48" s="35">
        <v>500</v>
      </c>
      <c r="N48" s="35"/>
      <c r="O48" s="35"/>
      <c r="P48" s="96"/>
    </row>
    <row r="49" spans="1:16" s="17" customFormat="1" ht="11.25">
      <c r="A49" s="42" t="s">
        <v>52</v>
      </c>
      <c r="B49" s="43">
        <v>53.174</v>
      </c>
      <c r="C49" s="44"/>
      <c r="D49" s="36">
        <v>1781</v>
      </c>
      <c r="E49" s="36">
        <v>1989</v>
      </c>
      <c r="F49" s="36">
        <v>1581</v>
      </c>
      <c r="G49" s="36">
        <v>1599</v>
      </c>
      <c r="H49" s="36">
        <v>2971</v>
      </c>
      <c r="I49" s="36">
        <v>2110</v>
      </c>
      <c r="J49" s="36">
        <v>1580</v>
      </c>
      <c r="K49" s="47">
        <f t="shared" si="2"/>
        <v>1723.6363636363635</v>
      </c>
      <c r="L49" s="35">
        <v>3000</v>
      </c>
      <c r="M49" s="35">
        <v>3000</v>
      </c>
      <c r="N49" s="35">
        <v>3000</v>
      </c>
      <c r="O49" s="35">
        <v>3000</v>
      </c>
      <c r="P49" s="96">
        <f t="shared" si="3"/>
        <v>0</v>
      </c>
    </row>
    <row r="50" spans="1:16" s="17" customFormat="1" ht="11.25">
      <c r="A50" s="42" t="s">
        <v>53</v>
      </c>
      <c r="B50" s="43">
        <v>53.175</v>
      </c>
      <c r="C50" s="44">
        <v>11411</v>
      </c>
      <c r="D50" s="36">
        <v>15083</v>
      </c>
      <c r="E50" s="36">
        <v>16193</v>
      </c>
      <c r="F50" s="36">
        <v>17591</v>
      </c>
      <c r="G50" s="36">
        <v>13790</v>
      </c>
      <c r="H50" s="36">
        <v>16707</v>
      </c>
      <c r="I50" s="36">
        <v>8661</v>
      </c>
      <c r="J50" s="36">
        <v>20128</v>
      </c>
      <c r="K50" s="47">
        <f t="shared" si="2"/>
        <v>21957.81818181818</v>
      </c>
      <c r="L50" s="35">
        <v>15000</v>
      </c>
      <c r="M50" s="35">
        <v>20000</v>
      </c>
      <c r="N50" s="35">
        <v>20000</v>
      </c>
      <c r="O50" s="35">
        <v>20000</v>
      </c>
      <c r="P50" s="96">
        <f t="shared" si="3"/>
        <v>0.3333333333333333</v>
      </c>
    </row>
    <row r="51" spans="1:16" s="17" customFormat="1" ht="11.25">
      <c r="A51" s="42" t="s">
        <v>54</v>
      </c>
      <c r="B51" s="43">
        <v>53.176</v>
      </c>
      <c r="C51" s="44">
        <v>228</v>
      </c>
      <c r="D51" s="36">
        <v>327</v>
      </c>
      <c r="E51" s="36">
        <v>649</v>
      </c>
      <c r="F51" s="36">
        <v>858</v>
      </c>
      <c r="G51" s="36">
        <v>384</v>
      </c>
      <c r="H51" s="36">
        <v>413</v>
      </c>
      <c r="I51" s="36">
        <v>1010</v>
      </c>
      <c r="J51" s="36">
        <v>421</v>
      </c>
      <c r="K51" s="47">
        <f t="shared" si="2"/>
        <v>459.27272727272725</v>
      </c>
      <c r="L51" s="35">
        <v>800</v>
      </c>
      <c r="M51" s="35">
        <v>80</v>
      </c>
      <c r="N51" s="35">
        <v>400</v>
      </c>
      <c r="O51" s="35">
        <v>400</v>
      </c>
      <c r="P51" s="96">
        <f t="shared" si="3"/>
        <v>-0.5</v>
      </c>
    </row>
    <row r="52" spans="1:20" s="17" customFormat="1" ht="11.25">
      <c r="A52" s="42" t="s">
        <v>55</v>
      </c>
      <c r="B52" s="43">
        <v>53.177</v>
      </c>
      <c r="C52" s="44">
        <v>1988</v>
      </c>
      <c r="D52" s="36">
        <v>2369</v>
      </c>
      <c r="E52" s="36">
        <v>721</v>
      </c>
      <c r="F52" s="36">
        <v>1350</v>
      </c>
      <c r="G52" s="36">
        <v>2163</v>
      </c>
      <c r="H52" s="36">
        <v>4659</v>
      </c>
      <c r="I52" s="36">
        <v>2160</v>
      </c>
      <c r="J52" s="36">
        <v>2523</v>
      </c>
      <c r="K52" s="47">
        <f t="shared" si="2"/>
        <v>2752.3636363636365</v>
      </c>
      <c r="L52" s="35">
        <v>2000</v>
      </c>
      <c r="M52" s="35">
        <v>2000</v>
      </c>
      <c r="N52" s="35">
        <v>2000</v>
      </c>
      <c r="O52" s="35">
        <v>2000</v>
      </c>
      <c r="P52" s="96">
        <f t="shared" si="3"/>
        <v>0</v>
      </c>
      <c r="T52" s="17" t="s">
        <v>201</v>
      </c>
    </row>
    <row r="53" spans="1:16" s="17" customFormat="1" ht="11.25">
      <c r="A53" s="42" t="s">
        <v>56</v>
      </c>
      <c r="B53" s="43">
        <v>53.178</v>
      </c>
      <c r="C53" s="44">
        <v>2327</v>
      </c>
      <c r="D53" s="36">
        <v>1981</v>
      </c>
      <c r="E53" s="36">
        <v>1765</v>
      </c>
      <c r="F53" s="36">
        <v>1551</v>
      </c>
      <c r="G53" s="36">
        <v>1540</v>
      </c>
      <c r="H53" s="36">
        <v>2431</v>
      </c>
      <c r="I53" s="36">
        <v>951</v>
      </c>
      <c r="J53" s="36">
        <v>1543</v>
      </c>
      <c r="K53" s="47">
        <f t="shared" si="2"/>
        <v>1683.2727272727275</v>
      </c>
      <c r="L53" s="35">
        <v>1500</v>
      </c>
      <c r="M53" s="35">
        <v>1500</v>
      </c>
      <c r="N53" s="35">
        <v>1500</v>
      </c>
      <c r="O53" s="35">
        <v>1500</v>
      </c>
      <c r="P53" s="96">
        <f t="shared" si="3"/>
        <v>0</v>
      </c>
    </row>
    <row r="54" spans="1:16" s="17" customFormat="1" ht="11.25">
      <c r="A54" s="42" t="s">
        <v>57</v>
      </c>
      <c r="B54" s="43">
        <v>53.179</v>
      </c>
      <c r="C54" s="44">
        <v>6086</v>
      </c>
      <c r="D54" s="36">
        <v>2979</v>
      </c>
      <c r="E54" s="36">
        <v>3160</v>
      </c>
      <c r="F54" s="36">
        <v>3128</v>
      </c>
      <c r="G54" s="36">
        <v>3819</v>
      </c>
      <c r="H54" s="36">
        <v>5690</v>
      </c>
      <c r="I54" s="36">
        <v>5249</v>
      </c>
      <c r="J54" s="36">
        <v>5187</v>
      </c>
      <c r="K54" s="47">
        <f t="shared" si="2"/>
        <v>5658.545454545455</v>
      </c>
      <c r="L54" s="35">
        <v>4000</v>
      </c>
      <c r="M54" s="35">
        <v>4500</v>
      </c>
      <c r="N54" s="35">
        <v>4500</v>
      </c>
      <c r="O54" s="35">
        <v>4500</v>
      </c>
      <c r="P54" s="96">
        <f t="shared" si="3"/>
        <v>0.125</v>
      </c>
    </row>
    <row r="55" spans="1:16" ht="11.25">
      <c r="A55" s="42" t="s">
        <v>58</v>
      </c>
      <c r="B55" s="43">
        <v>53.18</v>
      </c>
      <c r="C55" s="27"/>
      <c r="D55" s="47">
        <v>1630</v>
      </c>
      <c r="E55" s="47">
        <v>1964</v>
      </c>
      <c r="F55" s="47">
        <v>3060</v>
      </c>
      <c r="G55" s="47">
        <v>5336</v>
      </c>
      <c r="H55" s="47">
        <v>6324</v>
      </c>
      <c r="I55" s="47">
        <v>7797</v>
      </c>
      <c r="J55" s="36">
        <v>10237</v>
      </c>
      <c r="K55" s="47">
        <f t="shared" si="2"/>
        <v>11167.636363636364</v>
      </c>
      <c r="L55" s="64">
        <v>5000</v>
      </c>
      <c r="M55" s="64">
        <v>10000</v>
      </c>
      <c r="N55" s="64">
        <v>9500</v>
      </c>
      <c r="O55" s="64">
        <v>9500</v>
      </c>
      <c r="P55" s="96">
        <f t="shared" si="3"/>
        <v>0.9</v>
      </c>
    </row>
    <row r="56" spans="1:21" ht="12.75">
      <c r="A56" s="42" t="s">
        <v>287</v>
      </c>
      <c r="B56" s="43">
        <v>54.2508</v>
      </c>
      <c r="C56" s="27"/>
      <c r="D56" s="47"/>
      <c r="E56" s="47"/>
      <c r="F56" s="47"/>
      <c r="G56" s="47">
        <v>7820</v>
      </c>
      <c r="H56" s="47">
        <v>9052</v>
      </c>
      <c r="I56" s="47">
        <v>10465</v>
      </c>
      <c r="J56" s="36">
        <v>54877</v>
      </c>
      <c r="K56" s="47">
        <f t="shared" si="2"/>
        <v>59865.818181818184</v>
      </c>
      <c r="L56" s="64">
        <v>55000</v>
      </c>
      <c r="M56" s="64">
        <v>10000</v>
      </c>
      <c r="N56" s="64">
        <v>10000</v>
      </c>
      <c r="O56" s="64">
        <v>10000</v>
      </c>
      <c r="P56" s="96">
        <f t="shared" si="3"/>
        <v>-0.8181818181818182</v>
      </c>
      <c r="R56"/>
      <c r="S56"/>
      <c r="T56"/>
      <c r="U56" s="221" t="s">
        <v>201</v>
      </c>
    </row>
    <row r="57" spans="1:16" ht="11.25">
      <c r="A57" s="42" t="s">
        <v>344</v>
      </c>
      <c r="B57" s="43"/>
      <c r="C57" s="27"/>
      <c r="D57" s="47"/>
      <c r="E57" s="47"/>
      <c r="F57" s="47"/>
      <c r="G57" s="47"/>
      <c r="H57" s="47"/>
      <c r="I57" s="47">
        <v>6368</v>
      </c>
      <c r="J57" s="36"/>
      <c r="K57" s="47"/>
      <c r="L57" s="64"/>
      <c r="M57" s="64"/>
      <c r="N57" s="64"/>
      <c r="O57" s="64"/>
      <c r="P57" s="96"/>
    </row>
    <row r="58" spans="1:16" ht="11.25">
      <c r="A58" s="48" t="s">
        <v>59</v>
      </c>
      <c r="B58" s="34">
        <v>54.24</v>
      </c>
      <c r="C58" s="47"/>
      <c r="D58" s="47"/>
      <c r="E58" s="47"/>
      <c r="F58" s="47">
        <v>794</v>
      </c>
      <c r="G58" s="47"/>
      <c r="H58" s="47"/>
      <c r="I58" s="47">
        <v>9727</v>
      </c>
      <c r="J58" s="64">
        <v>2893</v>
      </c>
      <c r="K58" s="47">
        <f>+J58/$J$3*12</f>
        <v>3156</v>
      </c>
      <c r="L58" s="64"/>
      <c r="M58" s="47">
        <v>2000</v>
      </c>
      <c r="N58" s="64"/>
      <c r="O58" s="64"/>
      <c r="P58" s="96"/>
    </row>
    <row r="59" spans="1:16" ht="11.25">
      <c r="A59" s="48" t="s">
        <v>383</v>
      </c>
      <c r="B59" s="34"/>
      <c r="C59" s="47"/>
      <c r="D59" s="47"/>
      <c r="E59" s="47"/>
      <c r="F59" s="47"/>
      <c r="G59" s="47"/>
      <c r="H59" s="47"/>
      <c r="I59" s="47">
        <v>2266</v>
      </c>
      <c r="J59" s="64">
        <v>2730</v>
      </c>
      <c r="K59" s="47">
        <v>2730</v>
      </c>
      <c r="L59" s="64"/>
      <c r="M59" s="47"/>
      <c r="N59" s="64"/>
      <c r="O59" s="64"/>
      <c r="P59" s="96"/>
    </row>
    <row r="60" spans="1:16" ht="11.25">
      <c r="A60" s="48" t="s">
        <v>432</v>
      </c>
      <c r="B60" s="34"/>
      <c r="C60" s="47"/>
      <c r="D60" s="47"/>
      <c r="E60" s="47"/>
      <c r="F60" s="47"/>
      <c r="G60" s="47"/>
      <c r="H60" s="47"/>
      <c r="I60" s="47"/>
      <c r="J60" s="64">
        <v>1518</v>
      </c>
      <c r="K60" s="47">
        <v>1518</v>
      </c>
      <c r="L60" s="64"/>
      <c r="M60" s="47"/>
      <c r="N60" s="64"/>
      <c r="O60" s="64"/>
      <c r="P60" s="96"/>
    </row>
    <row r="61" spans="1:16" ht="11.25">
      <c r="A61" s="48" t="s">
        <v>336</v>
      </c>
      <c r="B61" s="34">
        <v>54.1211</v>
      </c>
      <c r="C61" s="47"/>
      <c r="D61" s="47"/>
      <c r="E61" s="47"/>
      <c r="F61" s="47"/>
      <c r="G61" s="47"/>
      <c r="H61" s="47">
        <f>9300+83430</f>
        <v>92730</v>
      </c>
      <c r="I61" s="47"/>
      <c r="J61" s="64"/>
      <c r="K61" s="64"/>
      <c r="L61" s="64"/>
      <c r="M61" s="47"/>
      <c r="N61" s="64"/>
      <c r="O61" s="64"/>
      <c r="P61" s="96"/>
    </row>
    <row r="62" spans="1:16" ht="11.25">
      <c r="A62" s="48" t="s">
        <v>354</v>
      </c>
      <c r="B62" s="34"/>
      <c r="C62" s="47"/>
      <c r="D62" s="47"/>
      <c r="E62" s="47"/>
      <c r="F62" s="47"/>
      <c r="G62" s="47"/>
      <c r="H62" s="47">
        <v>97852</v>
      </c>
      <c r="I62" s="47"/>
      <c r="J62" s="64"/>
      <c r="K62" s="64"/>
      <c r="L62" s="64"/>
      <c r="M62" s="47"/>
      <c r="N62" s="64"/>
      <c r="O62" s="64"/>
      <c r="P62" s="96"/>
    </row>
    <row r="63" spans="1:16" ht="11.25">
      <c r="A63" s="48" t="s">
        <v>355</v>
      </c>
      <c r="B63" s="34"/>
      <c r="C63" s="47"/>
      <c r="D63" s="47"/>
      <c r="E63" s="47"/>
      <c r="F63" s="47"/>
      <c r="G63" s="47"/>
      <c r="H63" s="47">
        <v>19000</v>
      </c>
      <c r="I63" s="47">
        <v>5257</v>
      </c>
      <c r="J63" s="64"/>
      <c r="K63" s="64"/>
      <c r="L63" s="64"/>
      <c r="M63" s="47"/>
      <c r="N63" s="64"/>
      <c r="O63" s="64"/>
      <c r="P63" s="96"/>
    </row>
    <row r="64" spans="1:16" ht="11.25">
      <c r="A64" s="48" t="s">
        <v>398</v>
      </c>
      <c r="B64" s="34"/>
      <c r="C64" s="47"/>
      <c r="D64" s="47"/>
      <c r="E64" s="47"/>
      <c r="F64" s="47"/>
      <c r="G64" s="47"/>
      <c r="H64" s="47"/>
      <c r="I64" s="47">
        <v>10635</v>
      </c>
      <c r="J64" s="64"/>
      <c r="K64" s="64"/>
      <c r="L64" s="64"/>
      <c r="M64" s="47"/>
      <c r="N64" s="64"/>
      <c r="O64" s="64"/>
      <c r="P64" s="96"/>
    </row>
    <row r="65" spans="1:16" ht="11.25">
      <c r="A65" s="48" t="s">
        <v>434</v>
      </c>
      <c r="B65" s="34"/>
      <c r="C65" s="47"/>
      <c r="D65" s="47"/>
      <c r="E65" s="47"/>
      <c r="F65" s="47"/>
      <c r="G65" s="47"/>
      <c r="H65" s="47"/>
      <c r="I65" s="47"/>
      <c r="J65" s="64">
        <v>35161</v>
      </c>
      <c r="K65" s="64">
        <v>35161</v>
      </c>
      <c r="L65" s="64">
        <v>30000</v>
      </c>
      <c r="M65" s="47"/>
      <c r="N65" s="64"/>
      <c r="O65" s="64"/>
      <c r="P65" s="96"/>
    </row>
    <row r="66" spans="1:16" ht="11.25">
      <c r="A66" s="48" t="s">
        <v>343</v>
      </c>
      <c r="B66" s="34"/>
      <c r="C66" s="47"/>
      <c r="D66" s="47"/>
      <c r="E66" s="47"/>
      <c r="F66" s="47"/>
      <c r="G66" s="47"/>
      <c r="H66" s="47"/>
      <c r="I66" s="47">
        <v>14904</v>
      </c>
      <c r="J66" s="64"/>
      <c r="K66" s="64"/>
      <c r="L66" s="64"/>
      <c r="M66" s="47"/>
      <c r="N66" s="64"/>
      <c r="O66" s="64"/>
      <c r="P66" s="96"/>
    </row>
    <row r="67" spans="1:17" ht="11.25">
      <c r="A67" s="48" t="s">
        <v>60</v>
      </c>
      <c r="B67" s="34">
        <v>54.251</v>
      </c>
      <c r="C67" s="47"/>
      <c r="D67" s="47"/>
      <c r="E67" s="47"/>
      <c r="F67" s="47"/>
      <c r="G67" s="47">
        <v>9694</v>
      </c>
      <c r="H67" s="47">
        <v>9836</v>
      </c>
      <c r="I67" s="47">
        <v>11917</v>
      </c>
      <c r="J67" s="36"/>
      <c r="K67" s="47">
        <v>10000</v>
      </c>
      <c r="L67" s="64">
        <v>10000</v>
      </c>
      <c r="M67" s="47">
        <v>10000</v>
      </c>
      <c r="N67" s="64">
        <v>10000</v>
      </c>
      <c r="O67" s="64">
        <v>10000</v>
      </c>
      <c r="P67" s="96"/>
      <c r="Q67" s="24" t="s">
        <v>352</v>
      </c>
    </row>
    <row r="68" spans="1:16" ht="11.25">
      <c r="A68" s="42" t="s">
        <v>307</v>
      </c>
      <c r="B68" s="225">
        <v>54.2512</v>
      </c>
      <c r="C68" s="47"/>
      <c r="D68" s="47">
        <v>12372</v>
      </c>
      <c r="E68" s="47"/>
      <c r="F68" s="47"/>
      <c r="G68" s="47"/>
      <c r="H68" s="47">
        <v>9384</v>
      </c>
      <c r="I68" s="47">
        <v>8627</v>
      </c>
      <c r="J68" s="64">
        <v>6291</v>
      </c>
      <c r="K68" s="47">
        <f>+J68/$J$3*12</f>
        <v>6862.90909090909</v>
      </c>
      <c r="L68" s="64">
        <v>10000</v>
      </c>
      <c r="M68" s="47">
        <v>10000</v>
      </c>
      <c r="N68" s="64">
        <v>10000</v>
      </c>
      <c r="O68" s="64">
        <v>10000</v>
      </c>
      <c r="P68" s="171">
        <f>(O68-L68)/L68</f>
        <v>0</v>
      </c>
    </row>
    <row r="69" spans="1:16" ht="11.25">
      <c r="A69" s="42" t="s">
        <v>274</v>
      </c>
      <c r="B69" s="225"/>
      <c r="C69" s="47"/>
      <c r="D69" s="47"/>
      <c r="E69" s="47"/>
      <c r="F69" s="47"/>
      <c r="G69" s="47"/>
      <c r="H69" s="47"/>
      <c r="I69" s="47">
        <v>-7749</v>
      </c>
      <c r="J69" s="64"/>
      <c r="K69" s="47"/>
      <c r="L69" s="64"/>
      <c r="M69" s="47"/>
      <c r="N69" s="64"/>
      <c r="O69" s="64"/>
      <c r="P69" s="171"/>
    </row>
    <row r="70" spans="1:16" ht="11.25">
      <c r="A70" s="23" t="s">
        <v>89</v>
      </c>
      <c r="B70" s="226"/>
      <c r="C70" s="227">
        <f>SUM(C23:C68)</f>
        <v>137151</v>
      </c>
      <c r="D70" s="227">
        <v>169632</v>
      </c>
      <c r="E70" s="227">
        <v>145812</v>
      </c>
      <c r="F70" s="227">
        <v>179232</v>
      </c>
      <c r="G70" s="227">
        <v>215417</v>
      </c>
      <c r="H70" s="227">
        <v>486729</v>
      </c>
      <c r="I70" s="227">
        <v>345608</v>
      </c>
      <c r="J70" s="227">
        <f aca="true" t="shared" si="4" ref="J70:O70">SUM(J23:J68)</f>
        <v>389034</v>
      </c>
      <c r="K70" s="227">
        <f>SUM(K23:K68)</f>
        <v>425651.8181818181</v>
      </c>
      <c r="L70" s="227">
        <f t="shared" si="4"/>
        <v>381947.28815875</v>
      </c>
      <c r="M70" s="227">
        <f t="shared" si="4"/>
        <v>387470</v>
      </c>
      <c r="N70" s="227">
        <f t="shared" si="4"/>
        <v>374039.67458</v>
      </c>
      <c r="O70" s="227">
        <f t="shared" si="4"/>
        <v>374039.67458</v>
      </c>
      <c r="P70" s="228">
        <f>(O70-L70)/L70</f>
        <v>-0.020703415952683314</v>
      </c>
    </row>
    <row r="71" spans="1:21" ht="12.75">
      <c r="A71" s="23"/>
      <c r="B71" s="34"/>
      <c r="C71" s="67"/>
      <c r="D71" s="67"/>
      <c r="E71" s="67"/>
      <c r="F71" s="67"/>
      <c r="G71" s="67"/>
      <c r="H71" s="67"/>
      <c r="I71" s="67"/>
      <c r="J71" s="82"/>
      <c r="K71" s="67"/>
      <c r="L71" s="67"/>
      <c r="M71" s="67"/>
      <c r="N71" s="82"/>
      <c r="O71" s="67"/>
      <c r="P71" s="96"/>
      <c r="R71"/>
      <c r="S71"/>
      <c r="T71" s="9"/>
      <c r="U71" s="221"/>
    </row>
    <row r="72" spans="1:21" ht="12.75">
      <c r="A72" s="23" t="s">
        <v>276</v>
      </c>
      <c r="K72" s="36"/>
      <c r="L72" s="41"/>
      <c r="M72" s="35"/>
      <c r="O72" s="35"/>
      <c r="P72" s="96"/>
      <c r="R72"/>
      <c r="S72"/>
      <c r="T72" s="9"/>
      <c r="U72" s="221"/>
    </row>
    <row r="73" spans="1:21" ht="12.75">
      <c r="A73" s="50" t="s">
        <v>278</v>
      </c>
      <c r="B73" s="151"/>
      <c r="C73" s="38"/>
      <c r="D73" s="38"/>
      <c r="E73" s="38"/>
      <c r="F73" s="38"/>
      <c r="G73" s="38">
        <v>76527</v>
      </c>
      <c r="H73" s="38">
        <v>103000</v>
      </c>
      <c r="I73" s="38">
        <v>75857</v>
      </c>
      <c r="J73" s="39"/>
      <c r="K73" s="38"/>
      <c r="L73" s="38">
        <v>49000</v>
      </c>
      <c r="M73" s="38"/>
      <c r="N73" s="38"/>
      <c r="O73" s="38"/>
      <c r="P73" s="139"/>
      <c r="Q73" s="24" t="s">
        <v>289</v>
      </c>
      <c r="R73"/>
      <c r="S73"/>
      <c r="T73" s="9"/>
      <c r="U73" s="221"/>
    </row>
    <row r="74" spans="1:21" ht="12.75">
      <c r="A74" s="23" t="s">
        <v>277</v>
      </c>
      <c r="B74" s="34"/>
      <c r="C74" s="67">
        <f>SUM(C73:C73)</f>
        <v>0</v>
      </c>
      <c r="D74" s="67"/>
      <c r="E74" s="67"/>
      <c r="F74" s="67"/>
      <c r="G74" s="82">
        <v>76527</v>
      </c>
      <c r="H74" s="82">
        <v>103329</v>
      </c>
      <c r="I74" s="82">
        <v>75857</v>
      </c>
      <c r="J74" s="82">
        <f aca="true" t="shared" si="5" ref="J74:O74">SUM(J73:J73)</f>
        <v>0</v>
      </c>
      <c r="K74" s="67">
        <f t="shared" si="5"/>
        <v>0</v>
      </c>
      <c r="L74" s="67">
        <f t="shared" si="5"/>
        <v>49000</v>
      </c>
      <c r="M74" s="82">
        <f t="shared" si="5"/>
        <v>0</v>
      </c>
      <c r="N74" s="82">
        <f t="shared" si="5"/>
        <v>0</v>
      </c>
      <c r="O74" s="82">
        <f t="shared" si="5"/>
        <v>0</v>
      </c>
      <c r="P74" s="96">
        <f>(O74-L74)/L74</f>
        <v>-1</v>
      </c>
      <c r="R74"/>
      <c r="S74"/>
      <c r="T74" s="9"/>
      <c r="U74" s="221"/>
    </row>
    <row r="75" spans="1:21" ht="12.75">
      <c r="A75" s="46"/>
      <c r="B75" s="34"/>
      <c r="D75" s="47"/>
      <c r="E75" s="47"/>
      <c r="F75" s="47"/>
      <c r="G75" s="47"/>
      <c r="H75" s="47"/>
      <c r="I75" s="47"/>
      <c r="J75" s="64"/>
      <c r="K75" s="36"/>
      <c r="L75" s="47"/>
      <c r="M75" s="47"/>
      <c r="N75" s="64"/>
      <c r="O75" s="47"/>
      <c r="P75" s="96"/>
      <c r="R75"/>
      <c r="S75"/>
      <c r="T75" s="9"/>
      <c r="U75" s="223"/>
    </row>
    <row r="76" spans="1:21" s="17" customFormat="1" ht="12.75">
      <c r="A76" s="22" t="s">
        <v>460</v>
      </c>
      <c r="B76" s="34"/>
      <c r="C76" s="24"/>
      <c r="D76" s="37"/>
      <c r="E76" s="37"/>
      <c r="F76" s="37"/>
      <c r="G76" s="175"/>
      <c r="H76" s="175"/>
      <c r="I76" s="175"/>
      <c r="J76" s="176"/>
      <c r="K76" s="176"/>
      <c r="L76" s="41"/>
      <c r="M76" s="41">
        <v>2352</v>
      </c>
      <c r="N76" s="41">
        <v>2352</v>
      </c>
      <c r="O76" s="41">
        <v>2352</v>
      </c>
      <c r="P76" s="96"/>
      <c r="Q76" s="17" t="s">
        <v>404</v>
      </c>
      <c r="R76"/>
      <c r="S76"/>
      <c r="T76" s="9"/>
      <c r="U76" s="221"/>
    </row>
    <row r="77" spans="1:21" ht="12.75">
      <c r="A77" s="46"/>
      <c r="B77" s="34"/>
      <c r="D77" s="47"/>
      <c r="E77" s="47"/>
      <c r="F77" s="47"/>
      <c r="G77" s="47"/>
      <c r="H77" s="47"/>
      <c r="I77" s="47"/>
      <c r="J77" s="64"/>
      <c r="K77" s="36"/>
      <c r="L77" s="47"/>
      <c r="M77" s="47"/>
      <c r="N77" s="64"/>
      <c r="O77" s="47"/>
      <c r="P77" s="96"/>
      <c r="R77"/>
      <c r="S77"/>
      <c r="T77" s="9"/>
      <c r="U77" s="223"/>
    </row>
    <row r="78" spans="1:21" ht="12.75">
      <c r="A78" s="46"/>
      <c r="B78" s="34"/>
      <c r="D78" s="47"/>
      <c r="E78" s="47"/>
      <c r="F78" s="47"/>
      <c r="G78" s="47"/>
      <c r="H78" s="47"/>
      <c r="I78" s="47"/>
      <c r="J78" s="64"/>
      <c r="K78" s="36"/>
      <c r="L78" s="47"/>
      <c r="M78" s="47"/>
      <c r="N78" s="64"/>
      <c r="O78" s="47"/>
      <c r="P78" s="96"/>
      <c r="R78"/>
      <c r="S78"/>
      <c r="T78"/>
      <c r="U78" s="221" t="s">
        <v>201</v>
      </c>
    </row>
    <row r="79" spans="1:21" ht="12.75">
      <c r="A79" s="23" t="s">
        <v>90</v>
      </c>
      <c r="F79" s="37">
        <v>5832</v>
      </c>
      <c r="K79" s="36"/>
      <c r="L79" s="41"/>
      <c r="M79" s="35"/>
      <c r="O79" s="35"/>
      <c r="P79" s="96"/>
      <c r="R79"/>
      <c r="S79"/>
      <c r="T79" s="9"/>
      <c r="U79" s="221"/>
    </row>
    <row r="80" spans="1:21" ht="12.75">
      <c r="A80" s="42" t="s">
        <v>36</v>
      </c>
      <c r="B80" s="43">
        <v>51.11</v>
      </c>
      <c r="C80" s="49">
        <v>204415</v>
      </c>
      <c r="D80" s="44">
        <v>226478</v>
      </c>
      <c r="E80" s="44">
        <v>244904</v>
      </c>
      <c r="F80" s="44">
        <v>267021</v>
      </c>
      <c r="G80" s="44">
        <v>262717</v>
      </c>
      <c r="H80" s="44">
        <v>288661</v>
      </c>
      <c r="I80" s="44">
        <v>109713</v>
      </c>
      <c r="J80" s="36"/>
      <c r="K80" s="47"/>
      <c r="L80" s="35">
        <v>100000</v>
      </c>
      <c r="M80" s="35"/>
      <c r="O80" s="35"/>
      <c r="P80" s="96">
        <f>(O80-L80)/L80</f>
        <v>-1</v>
      </c>
      <c r="Q80" s="24" t="s">
        <v>239</v>
      </c>
      <c r="R80"/>
      <c r="S80"/>
      <c r="T80" s="9"/>
      <c r="U80" s="221"/>
    </row>
    <row r="81" spans="1:21" ht="12.75">
      <c r="A81" s="42" t="s">
        <v>337</v>
      </c>
      <c r="B81" s="43">
        <v>51.1135</v>
      </c>
      <c r="C81" s="49"/>
      <c r="D81" s="44"/>
      <c r="E81" s="44"/>
      <c r="F81" s="44"/>
      <c r="G81" s="44">
        <v>3988</v>
      </c>
      <c r="H81" s="44"/>
      <c r="I81" s="44"/>
      <c r="K81" s="47"/>
      <c r="L81" s="35"/>
      <c r="M81" s="35"/>
      <c r="O81" s="35"/>
      <c r="P81" s="96"/>
      <c r="R81"/>
      <c r="S81"/>
      <c r="T81" s="9"/>
      <c r="U81" s="221"/>
    </row>
    <row r="82" spans="1:17" ht="11.25">
      <c r="A82" s="50" t="s">
        <v>61</v>
      </c>
      <c r="B82" s="51">
        <v>51.13</v>
      </c>
      <c r="C82" s="49">
        <v>1300</v>
      </c>
      <c r="D82" s="37">
        <v>505</v>
      </c>
      <c r="E82" s="37">
        <v>1242</v>
      </c>
      <c r="F82" s="37">
        <v>1180</v>
      </c>
      <c r="G82" s="37">
        <v>1647</v>
      </c>
      <c r="H82" s="37">
        <v>1187</v>
      </c>
      <c r="I82" s="37">
        <v>1085</v>
      </c>
      <c r="J82" s="36"/>
      <c r="K82" s="47">
        <f>+J82/$J$3*12</f>
        <v>0</v>
      </c>
      <c r="L82" s="35">
        <v>1500</v>
      </c>
      <c r="M82" s="35"/>
      <c r="O82" s="35"/>
      <c r="P82" s="96">
        <f>(O82-L82)/L82</f>
        <v>-1</v>
      </c>
      <c r="Q82" s="24" t="s">
        <v>239</v>
      </c>
    </row>
    <row r="83" spans="1:17" ht="11.25">
      <c r="A83" s="42" t="s">
        <v>38</v>
      </c>
      <c r="B83" s="43">
        <v>51.21</v>
      </c>
      <c r="C83" s="49">
        <v>12906</v>
      </c>
      <c r="D83" s="44">
        <v>11096</v>
      </c>
      <c r="E83" s="44">
        <v>12227</v>
      </c>
      <c r="F83" s="44">
        <v>15732</v>
      </c>
      <c r="G83" s="44">
        <v>16314</v>
      </c>
      <c r="H83" s="44">
        <v>16095</v>
      </c>
      <c r="I83" s="44">
        <v>22383</v>
      </c>
      <c r="J83" s="36"/>
      <c r="K83" s="47">
        <f>+J83/$J$3*12</f>
        <v>0</v>
      </c>
      <c r="L83" s="35">
        <v>26494.2</v>
      </c>
      <c r="M83" s="35"/>
      <c r="O83" s="35"/>
      <c r="P83" s="96">
        <f>(O83-L83)/L83</f>
        <v>-1</v>
      </c>
      <c r="Q83" s="24" t="s">
        <v>239</v>
      </c>
    </row>
    <row r="84" spans="1:17" ht="11.25">
      <c r="A84" s="42" t="s">
        <v>22</v>
      </c>
      <c r="B84" s="43">
        <v>51.22</v>
      </c>
      <c r="C84" s="49">
        <v>15521</v>
      </c>
      <c r="D84" s="37">
        <v>17363</v>
      </c>
      <c r="E84" s="37">
        <v>18324</v>
      </c>
      <c r="F84" s="37">
        <v>20077</v>
      </c>
      <c r="G84" s="37">
        <v>19839</v>
      </c>
      <c r="H84" s="37">
        <v>19905</v>
      </c>
      <c r="I84" s="37">
        <v>8393</v>
      </c>
      <c r="J84" s="36"/>
      <c r="K84" s="47">
        <f>+J84/$J$3*12</f>
        <v>0</v>
      </c>
      <c r="L84" s="35">
        <v>7764.75</v>
      </c>
      <c r="M84" s="35"/>
      <c r="O84" s="35"/>
      <c r="P84" s="96">
        <f>(O84-L84)/L84</f>
        <v>-1</v>
      </c>
      <c r="Q84" s="24" t="s">
        <v>239</v>
      </c>
    </row>
    <row r="85" spans="1:17" ht="11.25">
      <c r="A85" s="42" t="s">
        <v>39</v>
      </c>
      <c r="B85" s="43">
        <v>51.24</v>
      </c>
      <c r="C85" s="63">
        <v>1880</v>
      </c>
      <c r="D85" s="79">
        <v>2189</v>
      </c>
      <c r="E85" s="79">
        <v>2289</v>
      </c>
      <c r="F85" s="79">
        <v>2448</v>
      </c>
      <c r="G85" s="79">
        <v>2267</v>
      </c>
      <c r="H85" s="79">
        <v>1541</v>
      </c>
      <c r="I85" s="79">
        <v>2417</v>
      </c>
      <c r="J85" s="36"/>
      <c r="K85" s="47">
        <f>+J85/$J$3*12</f>
        <v>0</v>
      </c>
      <c r="L85" s="64">
        <v>2000</v>
      </c>
      <c r="M85" s="35"/>
      <c r="N85" s="64"/>
      <c r="O85" s="64"/>
      <c r="P85" s="96">
        <f>(O85-L85)/L85</f>
        <v>-1</v>
      </c>
      <c r="Q85" s="24" t="s">
        <v>239</v>
      </c>
    </row>
    <row r="86" spans="1:17" ht="11.25">
      <c r="A86" s="42"/>
      <c r="B86" s="43"/>
      <c r="C86" s="63"/>
      <c r="D86" s="79"/>
      <c r="E86" s="79">
        <v>9900</v>
      </c>
      <c r="F86" s="79"/>
      <c r="G86" s="79"/>
      <c r="H86" s="79"/>
      <c r="I86" s="79"/>
      <c r="J86" s="64"/>
      <c r="K86" s="47"/>
      <c r="L86" s="64"/>
      <c r="M86" s="64"/>
      <c r="N86" s="64"/>
      <c r="O86" s="64"/>
      <c r="P86" s="96"/>
      <c r="Q86" s="24" t="s">
        <v>239</v>
      </c>
    </row>
    <row r="87" spans="1:17" ht="11.25">
      <c r="A87" s="42" t="s">
        <v>42</v>
      </c>
      <c r="B87" s="43">
        <v>52.2206</v>
      </c>
      <c r="C87" s="49">
        <v>479</v>
      </c>
      <c r="D87" s="37">
        <v>3802</v>
      </c>
      <c r="E87" s="37">
        <v>6393</v>
      </c>
      <c r="F87" s="37">
        <v>1048</v>
      </c>
      <c r="G87" s="37">
        <v>500</v>
      </c>
      <c r="K87" s="36"/>
      <c r="L87" s="35"/>
      <c r="M87" s="35"/>
      <c r="O87" s="35"/>
      <c r="P87" s="96"/>
      <c r="Q87" s="24" t="s">
        <v>239</v>
      </c>
    </row>
    <row r="88" spans="1:17" ht="11.25">
      <c r="A88" s="50" t="s">
        <v>62</v>
      </c>
      <c r="B88" s="51">
        <v>52.32</v>
      </c>
      <c r="C88" s="52">
        <v>1804</v>
      </c>
      <c r="D88" s="36">
        <v>2381</v>
      </c>
      <c r="E88" s="36">
        <v>2966</v>
      </c>
      <c r="F88" s="36"/>
      <c r="G88" s="36">
        <v>1400</v>
      </c>
      <c r="H88" s="36"/>
      <c r="I88" s="36"/>
      <c r="K88" s="36"/>
      <c r="L88" s="35"/>
      <c r="M88" s="35"/>
      <c r="O88" s="35"/>
      <c r="P88" s="96"/>
      <c r="Q88" s="24" t="s">
        <v>239</v>
      </c>
    </row>
    <row r="89" spans="1:17" ht="11.25">
      <c r="A89" s="50" t="s">
        <v>44</v>
      </c>
      <c r="B89" s="51">
        <v>52.321</v>
      </c>
      <c r="C89" s="49">
        <v>10</v>
      </c>
      <c r="E89" s="37">
        <v>49</v>
      </c>
      <c r="H89" s="37">
        <v>43</v>
      </c>
      <c r="K89" s="36">
        <f>+J89/$J$3*12</f>
        <v>0</v>
      </c>
      <c r="L89" s="35"/>
      <c r="M89" s="35"/>
      <c r="O89" s="35"/>
      <c r="P89" s="96"/>
      <c r="Q89" s="24" t="s">
        <v>239</v>
      </c>
    </row>
    <row r="90" spans="1:21" s="17" customFormat="1" ht="11.25">
      <c r="A90" s="50" t="s">
        <v>47</v>
      </c>
      <c r="B90" s="51">
        <v>53.12</v>
      </c>
      <c r="C90" s="63">
        <v>7763</v>
      </c>
      <c r="D90" s="36">
        <v>7797</v>
      </c>
      <c r="E90" s="36">
        <v>9017</v>
      </c>
      <c r="F90" s="36">
        <v>9200</v>
      </c>
      <c r="G90" s="36">
        <v>2500</v>
      </c>
      <c r="H90" s="36"/>
      <c r="I90" s="36"/>
      <c r="J90" s="35"/>
      <c r="K90" s="36">
        <f>+J90/$J$3*12</f>
        <v>0</v>
      </c>
      <c r="L90" s="35"/>
      <c r="M90" s="35"/>
      <c r="N90" s="35"/>
      <c r="O90" s="35"/>
      <c r="P90" s="96"/>
      <c r="Q90" s="24" t="s">
        <v>239</v>
      </c>
      <c r="U90" s="35"/>
    </row>
    <row r="91" spans="1:21" s="17" customFormat="1" ht="11.25">
      <c r="A91" s="50" t="s">
        <v>65</v>
      </c>
      <c r="B91" s="51">
        <v>53.17</v>
      </c>
      <c r="C91" s="49"/>
      <c r="D91" s="36">
        <v>494</v>
      </c>
      <c r="E91" s="36">
        <v>105</v>
      </c>
      <c r="F91" s="36"/>
      <c r="G91" s="36">
        <v>370</v>
      </c>
      <c r="H91" s="36">
        <v>331</v>
      </c>
      <c r="I91" s="36"/>
      <c r="J91" s="59"/>
      <c r="K91" s="36">
        <f aca="true" t="shared" si="6" ref="K91:K100">+J91/$J$3*12</f>
        <v>0</v>
      </c>
      <c r="L91" s="35"/>
      <c r="M91" s="35"/>
      <c r="N91" s="35"/>
      <c r="O91" s="35"/>
      <c r="P91" s="96"/>
      <c r="Q91" s="24" t="s">
        <v>239</v>
      </c>
      <c r="U91" s="35"/>
    </row>
    <row r="92" spans="1:21" s="17" customFormat="1" ht="11.25">
      <c r="A92" s="50" t="s">
        <v>66</v>
      </c>
      <c r="B92" s="51">
        <v>53.1702</v>
      </c>
      <c r="C92" s="49"/>
      <c r="D92" s="36">
        <v>71</v>
      </c>
      <c r="E92" s="36">
        <v>106</v>
      </c>
      <c r="F92" s="36">
        <v>200</v>
      </c>
      <c r="G92" s="36">
        <v>200</v>
      </c>
      <c r="H92" s="36">
        <v>156</v>
      </c>
      <c r="I92" s="36"/>
      <c r="J92" s="59"/>
      <c r="K92" s="36">
        <f t="shared" si="6"/>
        <v>0</v>
      </c>
      <c r="L92" s="35"/>
      <c r="M92" s="35"/>
      <c r="N92" s="35"/>
      <c r="O92" s="35"/>
      <c r="P92" s="96"/>
      <c r="Q92" s="24" t="s">
        <v>239</v>
      </c>
      <c r="U92" s="35"/>
    </row>
    <row r="93" spans="1:21" s="17" customFormat="1" ht="11.25">
      <c r="A93" s="50" t="s">
        <v>23</v>
      </c>
      <c r="B93" s="51">
        <v>53.171</v>
      </c>
      <c r="C93" s="49">
        <v>771</v>
      </c>
      <c r="D93" s="36">
        <v>807</v>
      </c>
      <c r="E93" s="36">
        <v>704</v>
      </c>
      <c r="F93" s="36">
        <v>1394</v>
      </c>
      <c r="G93" s="36">
        <v>672</v>
      </c>
      <c r="H93" s="36">
        <v>1160</v>
      </c>
      <c r="I93" s="36"/>
      <c r="J93" s="59"/>
      <c r="K93" s="36">
        <f t="shared" si="6"/>
        <v>0</v>
      </c>
      <c r="L93" s="35"/>
      <c r="M93" s="35"/>
      <c r="N93" s="35"/>
      <c r="O93" s="35"/>
      <c r="P93" s="96"/>
      <c r="Q93" s="24" t="s">
        <v>239</v>
      </c>
      <c r="U93" s="35"/>
    </row>
    <row r="94" spans="1:21" s="17" customFormat="1" ht="11.25">
      <c r="A94" s="50" t="s">
        <v>50</v>
      </c>
      <c r="B94" s="51">
        <v>53.172</v>
      </c>
      <c r="C94" s="49">
        <v>5009</v>
      </c>
      <c r="D94" s="36">
        <v>2611</v>
      </c>
      <c r="E94" s="36">
        <v>5243</v>
      </c>
      <c r="F94" s="36">
        <v>7200</v>
      </c>
      <c r="G94" s="36">
        <v>600</v>
      </c>
      <c r="H94" s="36"/>
      <c r="I94" s="36"/>
      <c r="J94" s="59"/>
      <c r="K94" s="36">
        <f t="shared" si="6"/>
        <v>0</v>
      </c>
      <c r="L94" s="35"/>
      <c r="M94" s="35"/>
      <c r="N94" s="35"/>
      <c r="O94" s="35"/>
      <c r="P94" s="96"/>
      <c r="Q94" s="24" t="s">
        <v>239</v>
      </c>
      <c r="U94" s="35"/>
    </row>
    <row r="95" spans="1:21" s="17" customFormat="1" ht="11.25">
      <c r="A95" s="50" t="s">
        <v>67</v>
      </c>
      <c r="B95" s="51">
        <v>53.174</v>
      </c>
      <c r="C95" s="49">
        <v>950</v>
      </c>
      <c r="D95" s="36">
        <v>1308</v>
      </c>
      <c r="E95" s="36">
        <v>1476</v>
      </c>
      <c r="F95" s="36">
        <v>1541</v>
      </c>
      <c r="G95" s="36">
        <v>1602</v>
      </c>
      <c r="H95" s="36">
        <v>1449</v>
      </c>
      <c r="I95" s="36"/>
      <c r="J95" s="59"/>
      <c r="K95" s="36">
        <f t="shared" si="6"/>
        <v>0</v>
      </c>
      <c r="L95" s="35"/>
      <c r="M95" s="35"/>
      <c r="N95" s="35"/>
      <c r="O95" s="35"/>
      <c r="P95" s="96"/>
      <c r="Q95" s="24" t="s">
        <v>239</v>
      </c>
      <c r="U95" s="35"/>
    </row>
    <row r="96" spans="1:21" s="17" customFormat="1" ht="11.25">
      <c r="A96" s="50" t="s">
        <v>68</v>
      </c>
      <c r="B96" s="51">
        <v>53.175</v>
      </c>
      <c r="C96" s="49">
        <v>4808</v>
      </c>
      <c r="D96" s="36">
        <v>9282</v>
      </c>
      <c r="E96" s="36">
        <v>14126</v>
      </c>
      <c r="F96" s="36">
        <v>7947</v>
      </c>
      <c r="G96" s="36">
        <v>2500</v>
      </c>
      <c r="H96" s="36"/>
      <c r="I96" s="36"/>
      <c r="J96" s="59"/>
      <c r="K96" s="36">
        <f t="shared" si="6"/>
        <v>0</v>
      </c>
      <c r="L96" s="35"/>
      <c r="M96" s="35"/>
      <c r="N96" s="35"/>
      <c r="O96" s="35"/>
      <c r="P96" s="96"/>
      <c r="Q96" s="24" t="s">
        <v>239</v>
      </c>
      <c r="R96" s="17" t="s">
        <v>201</v>
      </c>
      <c r="U96" s="35"/>
    </row>
    <row r="97" spans="1:21" s="17" customFormat="1" ht="11.25">
      <c r="A97" s="50" t="s">
        <v>69</v>
      </c>
      <c r="B97" s="51">
        <v>53.176</v>
      </c>
      <c r="C97" s="49">
        <v>494</v>
      </c>
      <c r="D97" s="36">
        <v>1165</v>
      </c>
      <c r="E97" s="36">
        <v>859</v>
      </c>
      <c r="F97" s="36">
        <v>822</v>
      </c>
      <c r="G97" s="36">
        <v>563</v>
      </c>
      <c r="H97" s="36">
        <v>1436</v>
      </c>
      <c r="I97" s="36"/>
      <c r="J97" s="59"/>
      <c r="K97" s="36">
        <f t="shared" si="6"/>
        <v>0</v>
      </c>
      <c r="L97" s="35"/>
      <c r="M97" s="35"/>
      <c r="N97" s="35"/>
      <c r="O97" s="35"/>
      <c r="P97" s="96"/>
      <c r="Q97" s="24" t="s">
        <v>239</v>
      </c>
      <c r="U97" s="35"/>
    </row>
    <row r="98" spans="1:21" s="17" customFormat="1" ht="11.25">
      <c r="A98" s="50" t="s">
        <v>70</v>
      </c>
      <c r="B98" s="51">
        <v>53.177</v>
      </c>
      <c r="C98" s="49">
        <v>3144</v>
      </c>
      <c r="D98" s="36">
        <v>6096</v>
      </c>
      <c r="E98" s="36">
        <v>11456</v>
      </c>
      <c r="F98" s="36">
        <v>352</v>
      </c>
      <c r="G98" s="36"/>
      <c r="H98" s="36">
        <v>220</v>
      </c>
      <c r="I98" s="36"/>
      <c r="J98" s="59"/>
      <c r="K98" s="36">
        <f t="shared" si="6"/>
        <v>0</v>
      </c>
      <c r="L98" s="35"/>
      <c r="M98" s="35"/>
      <c r="N98" s="35"/>
      <c r="O98" s="35"/>
      <c r="P98" s="96"/>
      <c r="Q98" s="24" t="s">
        <v>239</v>
      </c>
      <c r="U98" s="35"/>
    </row>
    <row r="99" spans="1:21" s="17" customFormat="1" ht="11.25">
      <c r="A99" s="50" t="s">
        <v>56</v>
      </c>
      <c r="B99" s="51">
        <v>53.178</v>
      </c>
      <c r="C99" s="49"/>
      <c r="D99" s="36">
        <v>201</v>
      </c>
      <c r="E99" s="36">
        <v>324</v>
      </c>
      <c r="F99" s="36">
        <v>460</v>
      </c>
      <c r="G99" s="36">
        <v>586</v>
      </c>
      <c r="H99" s="36">
        <v>273</v>
      </c>
      <c r="I99" s="36"/>
      <c r="J99" s="59"/>
      <c r="K99" s="36">
        <f t="shared" si="6"/>
        <v>0</v>
      </c>
      <c r="L99" s="35"/>
      <c r="M99" s="35"/>
      <c r="N99" s="35"/>
      <c r="O99" s="35"/>
      <c r="P99" s="96"/>
      <c r="Q99" s="24" t="s">
        <v>239</v>
      </c>
      <c r="U99" s="35"/>
    </row>
    <row r="100" spans="1:21" s="17" customFormat="1" ht="11.25">
      <c r="A100" s="50" t="s">
        <v>57</v>
      </c>
      <c r="B100" s="51">
        <v>53.179</v>
      </c>
      <c r="C100" s="49">
        <v>1468</v>
      </c>
      <c r="D100" s="36">
        <v>978</v>
      </c>
      <c r="E100" s="36">
        <v>1337</v>
      </c>
      <c r="F100" s="36">
        <v>1676</v>
      </c>
      <c r="G100" s="36">
        <v>2341</v>
      </c>
      <c r="H100" s="36">
        <v>2233</v>
      </c>
      <c r="I100" s="36"/>
      <c r="J100" s="59"/>
      <c r="K100" s="36">
        <f t="shared" si="6"/>
        <v>0</v>
      </c>
      <c r="L100" s="35"/>
      <c r="M100" s="35"/>
      <c r="N100" s="35"/>
      <c r="O100" s="35"/>
      <c r="P100" s="96"/>
      <c r="Q100" s="24" t="s">
        <v>239</v>
      </c>
      <c r="U100" s="35"/>
    </row>
    <row r="101" spans="1:17" ht="11.25">
      <c r="A101" s="42" t="s">
        <v>58</v>
      </c>
      <c r="B101" s="43">
        <v>53.18</v>
      </c>
      <c r="C101" s="27">
        <v>5606</v>
      </c>
      <c r="D101" s="47">
        <v>4275</v>
      </c>
      <c r="E101" s="47">
        <v>6932</v>
      </c>
      <c r="F101" s="47">
        <v>5870</v>
      </c>
      <c r="G101" s="47">
        <v>2400</v>
      </c>
      <c r="H101" s="47"/>
      <c r="I101" s="47"/>
      <c r="J101" s="64"/>
      <c r="K101" s="47">
        <f>+J101/$J$3*12</f>
        <v>0</v>
      </c>
      <c r="L101" s="64"/>
      <c r="M101" s="64"/>
      <c r="N101" s="64"/>
      <c r="O101" s="64"/>
      <c r="P101" s="96"/>
      <c r="Q101" s="24" t="s">
        <v>239</v>
      </c>
    </row>
    <row r="102" spans="1:16" ht="11.25" hidden="1">
      <c r="A102" s="50" t="s">
        <v>71</v>
      </c>
      <c r="B102" s="51">
        <v>54.12</v>
      </c>
      <c r="C102" s="52"/>
      <c r="D102" s="49">
        <v>12736</v>
      </c>
      <c r="E102" s="49"/>
      <c r="F102" s="49"/>
      <c r="G102" s="49"/>
      <c r="H102" s="49"/>
      <c r="I102" s="49"/>
      <c r="K102" s="36">
        <f>+J102/$J$3*12</f>
        <v>0</v>
      </c>
      <c r="L102" s="64"/>
      <c r="M102" s="47"/>
      <c r="N102" s="64"/>
      <c r="O102" s="64"/>
      <c r="P102" s="96"/>
    </row>
    <row r="103" spans="1:16" ht="11.25" hidden="1">
      <c r="A103" s="50" t="s">
        <v>72</v>
      </c>
      <c r="B103" s="51">
        <v>54.24</v>
      </c>
      <c r="C103" s="52"/>
      <c r="D103" s="49">
        <v>954</v>
      </c>
      <c r="E103" s="49"/>
      <c r="F103" s="49"/>
      <c r="G103" s="49"/>
      <c r="H103" s="49"/>
      <c r="I103" s="49"/>
      <c r="K103" s="36">
        <f>+J103/$J$3*12</f>
        <v>0</v>
      </c>
      <c r="L103" s="49"/>
      <c r="M103" s="47"/>
      <c r="N103" s="64"/>
      <c r="O103" s="64"/>
      <c r="P103" s="96"/>
    </row>
    <row r="104" spans="1:16" ht="11.25" hidden="1">
      <c r="A104" s="50" t="s">
        <v>73</v>
      </c>
      <c r="B104" s="51">
        <v>54.25</v>
      </c>
      <c r="C104" s="47"/>
      <c r="D104" s="47">
        <v>485</v>
      </c>
      <c r="E104" s="47"/>
      <c r="F104" s="47"/>
      <c r="G104" s="47"/>
      <c r="H104" s="47"/>
      <c r="I104" s="47"/>
      <c r="J104" s="64"/>
      <c r="K104" s="47">
        <f>+J104/$J$3*12</f>
        <v>0</v>
      </c>
      <c r="L104" s="47"/>
      <c r="M104" s="47"/>
      <c r="N104" s="64"/>
      <c r="O104" s="64"/>
      <c r="P104" s="96"/>
    </row>
    <row r="105" spans="1:16" ht="11.25">
      <c r="A105" s="23" t="s">
        <v>91</v>
      </c>
      <c r="B105" s="34"/>
      <c r="C105" s="67">
        <f>SUM(C80:C104)</f>
        <v>268328</v>
      </c>
      <c r="D105" s="67">
        <v>313074</v>
      </c>
      <c r="E105" s="67">
        <v>345896</v>
      </c>
      <c r="F105" s="67">
        <v>350000</v>
      </c>
      <c r="G105" s="82">
        <v>324470</v>
      </c>
      <c r="H105" s="82">
        <v>334734</v>
      </c>
      <c r="I105" s="82">
        <v>145092</v>
      </c>
      <c r="J105" s="82">
        <f aca="true" t="shared" si="7" ref="J105:O105">SUM(J80:J104)</f>
        <v>0</v>
      </c>
      <c r="K105" s="67">
        <f t="shared" si="7"/>
        <v>0</v>
      </c>
      <c r="L105" s="67">
        <f t="shared" si="7"/>
        <v>137758.95</v>
      </c>
      <c r="M105" s="67">
        <f t="shared" si="7"/>
        <v>0</v>
      </c>
      <c r="N105" s="82">
        <f t="shared" si="7"/>
        <v>0</v>
      </c>
      <c r="O105" s="82">
        <f t="shared" si="7"/>
        <v>0</v>
      </c>
      <c r="P105" s="96">
        <f>(O105-L105)/L105</f>
        <v>-1</v>
      </c>
    </row>
    <row r="106" spans="1:16" ht="12" thickBot="1">
      <c r="A106" s="53"/>
      <c r="B106" s="68"/>
      <c r="C106" s="47"/>
      <c r="D106" s="47"/>
      <c r="E106" s="47"/>
      <c r="F106" s="47"/>
      <c r="G106" s="47"/>
      <c r="H106" s="47"/>
      <c r="I106" s="47"/>
      <c r="J106" s="64"/>
      <c r="K106" s="36"/>
      <c r="L106" s="47"/>
      <c r="M106" s="47"/>
      <c r="N106" s="64"/>
      <c r="O106" s="64"/>
      <c r="P106" s="96"/>
    </row>
    <row r="107" spans="1:16" ht="11.25">
      <c r="A107" s="54" t="s">
        <v>26</v>
      </c>
      <c r="C107" s="55">
        <f>C70+C105</f>
        <v>405479</v>
      </c>
      <c r="D107" s="55">
        <v>482706</v>
      </c>
      <c r="E107" s="55">
        <v>491708</v>
      </c>
      <c r="F107" s="55">
        <v>529232</v>
      </c>
      <c r="G107" s="55">
        <v>634314</v>
      </c>
      <c r="H107" s="55">
        <v>916936</v>
      </c>
      <c r="I107" s="55">
        <v>585753</v>
      </c>
      <c r="J107" s="55">
        <f>J70+J17+J105+J74</f>
        <v>420808</v>
      </c>
      <c r="K107" s="55">
        <f>K70+K17+K105+K74</f>
        <v>461943.8181818181</v>
      </c>
      <c r="L107" s="55">
        <f>L70+L16+L105+L74</f>
        <v>590429.23815875</v>
      </c>
      <c r="M107" s="55">
        <f>M70+M16+M105+M74+M18+M76</f>
        <v>926822</v>
      </c>
      <c r="N107" s="55">
        <f>N70+N16+N105+N74+N18+N76</f>
        <v>913391.67458</v>
      </c>
      <c r="O107" s="55">
        <f>O70+O16+O105+O74+O18+O76</f>
        <v>913391.67458</v>
      </c>
      <c r="P107" s="96">
        <f>(O107-L107)/L107</f>
        <v>0.5469960082403886</v>
      </c>
    </row>
    <row r="108" spans="1:16" ht="11.25">
      <c r="A108" s="40"/>
      <c r="C108" s="67"/>
      <c r="D108" s="67"/>
      <c r="E108" s="67"/>
      <c r="F108" s="67"/>
      <c r="G108" s="67"/>
      <c r="H108" s="67"/>
      <c r="I108" s="67"/>
      <c r="J108" s="82"/>
      <c r="K108" s="67"/>
      <c r="L108" s="67"/>
      <c r="M108" s="67"/>
      <c r="N108" s="67"/>
      <c r="O108" s="67"/>
      <c r="P108" s="96"/>
    </row>
    <row r="109" spans="1:16" ht="11.25">
      <c r="A109" s="40"/>
      <c r="C109" s="67"/>
      <c r="D109" s="67"/>
      <c r="E109" s="67"/>
      <c r="F109" s="67"/>
      <c r="G109" s="67"/>
      <c r="H109" s="67"/>
      <c r="I109" s="67"/>
      <c r="J109" s="82"/>
      <c r="K109" s="67"/>
      <c r="L109" s="67"/>
      <c r="M109" s="41"/>
      <c r="N109" s="41"/>
      <c r="O109" s="67"/>
      <c r="P109" s="96"/>
    </row>
    <row r="110" spans="1:21" s="52" customFormat="1" ht="11.25">
      <c r="A110" s="22" t="s">
        <v>273</v>
      </c>
      <c r="B110" s="71"/>
      <c r="C110" s="70">
        <v>77649</v>
      </c>
      <c r="D110" s="80"/>
      <c r="E110" s="41">
        <v>154907</v>
      </c>
      <c r="F110" s="41">
        <v>155673</v>
      </c>
      <c r="G110" s="41">
        <v>121347</v>
      </c>
      <c r="H110" s="41">
        <v>-26628</v>
      </c>
      <c r="I110" s="41">
        <v>293443</v>
      </c>
      <c r="J110" s="41">
        <f aca="true" t="shared" si="8" ref="J110:O110">J11-J107</f>
        <v>483571</v>
      </c>
      <c r="K110" s="41">
        <f t="shared" si="8"/>
        <v>446278.2727272728</v>
      </c>
      <c r="L110" s="41">
        <f>L11-L107</f>
        <v>279441.98184125</v>
      </c>
      <c r="M110" s="41">
        <f t="shared" si="8"/>
        <v>-8717</v>
      </c>
      <c r="N110" s="41">
        <f>N11-N107</f>
        <v>-21286.67457999999</v>
      </c>
      <c r="O110" s="41">
        <f t="shared" si="8"/>
        <v>-21286.67457999999</v>
      </c>
      <c r="U110" s="35"/>
    </row>
    <row r="111" ht="11.25"/>
    <row r="112" spans="1:21" s="52" customFormat="1" ht="11.25">
      <c r="A112" s="24"/>
      <c r="B112" s="25"/>
      <c r="C112" s="24"/>
      <c r="D112" s="37"/>
      <c r="E112" s="37"/>
      <c r="F112" s="37"/>
      <c r="L112" s="17" t="s">
        <v>27</v>
      </c>
      <c r="M112" s="17"/>
      <c r="N112" s="35">
        <f>N107-M107</f>
        <v>-13430.325420000008</v>
      </c>
      <c r="U112" s="35"/>
    </row>
    <row r="113" spans="6:21" s="52" customFormat="1" ht="11.25">
      <c r="F113" s="96">
        <f>(B125-B124)/B124</f>
        <v>-0.01643424547596351</v>
      </c>
      <c r="L113" s="17" t="s">
        <v>342</v>
      </c>
      <c r="M113" s="17"/>
      <c r="N113" s="35">
        <f>L107-N107</f>
        <v>-322962.43642125</v>
      </c>
      <c r="U113" s="35"/>
    </row>
    <row r="114" spans="6:21" s="52" customFormat="1" ht="11.25">
      <c r="F114" s="96">
        <f>(B124-B123)/B123</f>
        <v>0.525660963064451</v>
      </c>
      <c r="G114" s="37"/>
      <c r="H114" s="37"/>
      <c r="I114" s="37"/>
      <c r="J114" s="35"/>
      <c r="L114" s="17" t="s">
        <v>28</v>
      </c>
      <c r="M114" s="17"/>
      <c r="N114" s="35">
        <f>N107-O107</f>
        <v>0</v>
      </c>
      <c r="U114" s="35"/>
    </row>
    <row r="115" spans="6:21" s="52" customFormat="1" ht="11.25">
      <c r="F115" s="96">
        <f>(B123-B122)/B122</f>
        <v>0.5282102883310352</v>
      </c>
      <c r="G115" s="49"/>
      <c r="H115" s="49"/>
      <c r="I115" s="49"/>
      <c r="J115" s="35"/>
      <c r="L115" s="17"/>
      <c r="M115" s="17"/>
      <c r="N115" s="35"/>
      <c r="U115" s="35"/>
    </row>
    <row r="116" spans="1:21" s="52" customFormat="1" ht="11.25">
      <c r="A116" s="69" t="s">
        <v>420</v>
      </c>
      <c r="B116" s="71">
        <v>9852</v>
      </c>
      <c r="C116" s="51"/>
      <c r="D116" s="49"/>
      <c r="E116" s="96"/>
      <c r="F116" s="49"/>
      <c r="G116" s="49"/>
      <c r="H116" s="49"/>
      <c r="I116" s="49"/>
      <c r="N116" s="35"/>
      <c r="U116" s="35"/>
    </row>
    <row r="117" spans="1:21" s="52" customFormat="1" ht="11.25">
      <c r="A117" s="69" t="s">
        <v>421</v>
      </c>
      <c r="B117" s="72">
        <v>87501</v>
      </c>
      <c r="C117" s="70"/>
      <c r="F117" s="96">
        <f aca="true" t="shared" si="9" ref="F117:F122">(B117-B116)/B116</f>
        <v>7.881546894031668</v>
      </c>
      <c r="G117" s="44">
        <f aca="true" t="shared" si="10" ref="G117:G123">B117-B116</f>
        <v>77649</v>
      </c>
      <c r="H117" s="96">
        <f>G117/B116</f>
        <v>7.881546894031668</v>
      </c>
      <c r="I117" s="49"/>
      <c r="N117" s="35"/>
      <c r="U117" s="35"/>
    </row>
    <row r="118" spans="1:21" s="52" customFormat="1" ht="11.25">
      <c r="A118" s="69" t="s">
        <v>422</v>
      </c>
      <c r="B118" s="71">
        <v>145316</v>
      </c>
      <c r="F118" s="96">
        <f t="shared" si="9"/>
        <v>0.6607353058822185</v>
      </c>
      <c r="G118" s="44">
        <f t="shared" si="10"/>
        <v>57815</v>
      </c>
      <c r="H118" s="96">
        <f aca="true" t="shared" si="11" ref="H118:H124">G118/B117</f>
        <v>0.6607353058822185</v>
      </c>
      <c r="K118" s="57"/>
      <c r="L118" s="56"/>
      <c r="N118" s="35"/>
      <c r="U118" s="35"/>
    </row>
    <row r="119" spans="1:21" s="52" customFormat="1" ht="11.25">
      <c r="A119" s="69" t="s">
        <v>423</v>
      </c>
      <c r="B119" s="137">
        <v>300223</v>
      </c>
      <c r="F119" s="96">
        <f t="shared" si="9"/>
        <v>1.0660009909438741</v>
      </c>
      <c r="G119" s="44">
        <f t="shared" si="10"/>
        <v>154907</v>
      </c>
      <c r="H119" s="96">
        <f t="shared" si="11"/>
        <v>1.0660009909438741</v>
      </c>
      <c r="K119" s="41"/>
      <c r="L119" s="41"/>
      <c r="M119" s="41"/>
      <c r="N119" s="41"/>
      <c r="O119" s="41"/>
      <c r="U119" s="35"/>
    </row>
    <row r="120" spans="1:21" s="52" customFormat="1" ht="11.25">
      <c r="A120" s="69" t="s">
        <v>281</v>
      </c>
      <c r="B120" s="137">
        <v>460823</v>
      </c>
      <c r="F120" s="96">
        <f t="shared" si="9"/>
        <v>0.5349356977979701</v>
      </c>
      <c r="G120" s="44">
        <f t="shared" si="10"/>
        <v>160600</v>
      </c>
      <c r="H120" s="96">
        <f t="shared" si="11"/>
        <v>0.5349356977979701</v>
      </c>
      <c r="U120" s="35"/>
    </row>
    <row r="121" spans="1:21" s="52" customFormat="1" ht="11.25">
      <c r="A121" s="69" t="s">
        <v>320</v>
      </c>
      <c r="B121" s="137">
        <v>582170</v>
      </c>
      <c r="F121" s="96">
        <f t="shared" si="9"/>
        <v>0.26332670027320687</v>
      </c>
      <c r="G121" s="44">
        <f t="shared" si="10"/>
        <v>121347</v>
      </c>
      <c r="H121" s="96">
        <f t="shared" si="11"/>
        <v>0.26332670027320687</v>
      </c>
      <c r="I121" s="49"/>
      <c r="J121" s="35"/>
      <c r="L121" s="56"/>
      <c r="N121" s="35"/>
      <c r="U121" s="35"/>
    </row>
    <row r="122" spans="1:21" s="52" customFormat="1" ht="11.25">
      <c r="A122" s="69" t="s">
        <v>363</v>
      </c>
      <c r="B122" s="137">
        <v>555542</v>
      </c>
      <c r="C122" s="24"/>
      <c r="F122" s="96">
        <f t="shared" si="9"/>
        <v>-0.04573921706717969</v>
      </c>
      <c r="G122" s="44">
        <f t="shared" si="10"/>
        <v>-26628</v>
      </c>
      <c r="H122" s="96">
        <f t="shared" si="11"/>
        <v>-0.04573921706717969</v>
      </c>
      <c r="I122" s="49"/>
      <c r="J122" s="35"/>
      <c r="L122" s="17"/>
      <c r="M122" s="17"/>
      <c r="N122" s="35"/>
      <c r="U122" s="35"/>
    </row>
    <row r="123" spans="1:21" s="52" customFormat="1" ht="11.25">
      <c r="A123" s="69" t="s">
        <v>428</v>
      </c>
      <c r="B123" s="137">
        <v>848985</v>
      </c>
      <c r="D123" s="49"/>
      <c r="E123" s="49"/>
      <c r="F123" s="49"/>
      <c r="G123" s="44">
        <f t="shared" si="10"/>
        <v>293443</v>
      </c>
      <c r="H123" s="96">
        <f t="shared" si="11"/>
        <v>0.5282102883310352</v>
      </c>
      <c r="I123" s="49"/>
      <c r="N123" s="35"/>
      <c r="U123" s="35"/>
    </row>
    <row r="124" spans="1:21" s="58" customFormat="1" ht="11.25">
      <c r="A124" s="69" t="s">
        <v>357</v>
      </c>
      <c r="B124" s="137">
        <f>B123+K110</f>
        <v>1295263.272727273</v>
      </c>
      <c r="C124" s="52"/>
      <c r="D124" s="49"/>
      <c r="E124" s="49"/>
      <c r="F124" s="49"/>
      <c r="G124" s="44">
        <f>B124-B123</f>
        <v>446278.27272727294</v>
      </c>
      <c r="H124" s="96">
        <f t="shared" si="11"/>
        <v>0.525660963064451</v>
      </c>
      <c r="I124" s="44"/>
      <c r="N124" s="35"/>
      <c r="U124" s="35"/>
    </row>
    <row r="125" spans="1:21" s="58" customFormat="1" ht="11.25">
      <c r="A125" s="69" t="s">
        <v>408</v>
      </c>
      <c r="B125" s="137">
        <f>B124+O110</f>
        <v>1273976.598147273</v>
      </c>
      <c r="C125" s="52"/>
      <c r="D125" s="49"/>
      <c r="E125" s="49"/>
      <c r="F125" s="49"/>
      <c r="G125" s="44"/>
      <c r="H125" s="44"/>
      <c r="I125" s="44"/>
      <c r="N125" s="35"/>
      <c r="U125" s="35"/>
    </row>
    <row r="126" spans="1:21" s="58" customFormat="1" ht="11.25">
      <c r="A126" s="52"/>
      <c r="B126" s="52"/>
      <c r="D126" s="44"/>
      <c r="E126" s="44"/>
      <c r="F126" s="44"/>
      <c r="G126" s="44"/>
      <c r="H126" s="44"/>
      <c r="I126" s="44"/>
      <c r="N126" s="35"/>
      <c r="U126" s="35"/>
    </row>
    <row r="127" spans="1:21" s="58" customFormat="1" ht="12.75" customHeight="1">
      <c r="A127" s="52" t="s">
        <v>393</v>
      </c>
      <c r="B127" s="52"/>
      <c r="D127" s="44"/>
      <c r="E127" s="44"/>
      <c r="F127" s="44"/>
      <c r="G127" s="44"/>
      <c r="H127" s="44"/>
      <c r="I127" s="44"/>
      <c r="N127" s="35"/>
      <c r="U127" s="35"/>
    </row>
    <row r="128" spans="1:21" s="58" customFormat="1" ht="11.25">
      <c r="A128" s="58" t="s">
        <v>286</v>
      </c>
      <c r="D128" s="44"/>
      <c r="E128" s="44"/>
      <c r="F128" s="44"/>
      <c r="G128" s="44"/>
      <c r="H128" s="44"/>
      <c r="I128" s="44"/>
      <c r="J128" s="35"/>
      <c r="N128" s="35"/>
      <c r="U128" s="35"/>
    </row>
    <row r="129" spans="1:21" s="58" customFormat="1" ht="11.25">
      <c r="A129" s="17" t="s">
        <v>403</v>
      </c>
      <c r="D129" s="44"/>
      <c r="E129" s="44"/>
      <c r="F129" s="44"/>
      <c r="G129" s="44"/>
      <c r="H129" s="44"/>
      <c r="I129" s="44"/>
      <c r="J129" s="35"/>
      <c r="N129" s="35"/>
      <c r="U129" s="35"/>
    </row>
    <row r="130" spans="1:21" s="58" customFormat="1" ht="11.25">
      <c r="A130" s="58" t="s">
        <v>395</v>
      </c>
      <c r="B130" s="24"/>
      <c r="D130" s="44"/>
      <c r="E130" s="44"/>
      <c r="F130" s="44"/>
      <c r="G130" s="44"/>
      <c r="H130" s="44"/>
      <c r="I130" s="44"/>
      <c r="J130" s="35"/>
      <c r="N130" s="35"/>
      <c r="U130" s="35"/>
    </row>
    <row r="131" spans="1:21" s="58" customFormat="1" ht="11.25">
      <c r="A131" s="58" t="s">
        <v>394</v>
      </c>
      <c r="D131" s="44"/>
      <c r="E131" s="44"/>
      <c r="F131" s="44"/>
      <c r="G131" s="44"/>
      <c r="H131" s="44"/>
      <c r="I131" s="44"/>
      <c r="J131" s="35"/>
      <c r="N131" s="35"/>
      <c r="U131" s="35"/>
    </row>
    <row r="132" spans="1:21" s="58" customFormat="1" ht="11.25">
      <c r="A132" s="141" t="s">
        <v>461</v>
      </c>
      <c r="D132" s="44"/>
      <c r="E132" s="44"/>
      <c r="F132" s="44"/>
      <c r="G132" s="44"/>
      <c r="H132" s="44"/>
      <c r="I132" s="44"/>
      <c r="J132" s="35"/>
      <c r="N132" s="35"/>
      <c r="U132" s="35"/>
    </row>
    <row r="133" spans="1:21" s="58" customFormat="1" ht="11.25">
      <c r="A133" s="58" t="s">
        <v>463</v>
      </c>
      <c r="D133" s="44"/>
      <c r="E133" s="44"/>
      <c r="F133" s="44"/>
      <c r="G133" s="44"/>
      <c r="H133" s="44"/>
      <c r="I133" s="44"/>
      <c r="J133" s="35"/>
      <c r="N133" s="35"/>
      <c r="U133" s="35"/>
    </row>
    <row r="134" spans="1:21" s="58" customFormat="1" ht="11.25">
      <c r="A134" s="58" t="s">
        <v>445</v>
      </c>
      <c r="D134" s="44"/>
      <c r="E134" s="44"/>
      <c r="F134" s="44"/>
      <c r="G134" s="44"/>
      <c r="H134" s="44"/>
      <c r="I134" s="44"/>
      <c r="J134" s="35"/>
      <c r="N134" s="35"/>
      <c r="U134" s="35"/>
    </row>
    <row r="135" spans="1:21" s="58" customFormat="1" ht="11.25">
      <c r="A135" s="58" t="s">
        <v>458</v>
      </c>
      <c r="D135" s="44"/>
      <c r="E135" s="44"/>
      <c r="F135" s="44"/>
      <c r="G135" s="44"/>
      <c r="H135" s="44"/>
      <c r="I135" s="44"/>
      <c r="J135" s="35"/>
      <c r="N135" s="35"/>
      <c r="U135" s="35"/>
    </row>
    <row r="136" spans="4:21" s="58" customFormat="1" ht="11.25">
      <c r="D136" s="44"/>
      <c r="E136" s="44"/>
      <c r="F136" s="44"/>
      <c r="G136" s="44"/>
      <c r="H136" s="44"/>
      <c r="I136" s="44"/>
      <c r="J136" s="35"/>
      <c r="N136" s="35"/>
      <c r="U136" s="35"/>
    </row>
    <row r="137" spans="4:21" s="58" customFormat="1" ht="11.25">
      <c r="D137" s="44"/>
      <c r="E137" s="44"/>
      <c r="F137" s="44"/>
      <c r="G137" s="44"/>
      <c r="H137" s="44"/>
      <c r="I137" s="44"/>
      <c r="J137" s="35"/>
      <c r="N137" s="35"/>
      <c r="U137" s="35"/>
    </row>
    <row r="138" spans="1:21" s="17" customFormat="1" ht="11.25">
      <c r="A138" s="58"/>
      <c r="B138" s="58"/>
      <c r="C138" s="58"/>
      <c r="D138" s="44"/>
      <c r="E138" s="44"/>
      <c r="F138" s="44"/>
      <c r="G138" s="75"/>
      <c r="H138" s="75"/>
      <c r="I138" s="75"/>
      <c r="J138" s="81"/>
      <c r="K138" s="31"/>
      <c r="N138" s="35"/>
      <c r="U138" s="35"/>
    </row>
    <row r="139" spans="1:21" s="17" customFormat="1" ht="11.25">
      <c r="A139" s="58"/>
      <c r="B139" s="58"/>
      <c r="C139" s="24"/>
      <c r="D139" s="75"/>
      <c r="E139" s="75"/>
      <c r="F139" s="75"/>
      <c r="G139" s="36"/>
      <c r="H139" s="36"/>
      <c r="I139" s="36"/>
      <c r="J139" s="35"/>
      <c r="K139" s="45"/>
      <c r="N139" s="35"/>
      <c r="U139" s="35"/>
    </row>
    <row r="140" spans="1:21" s="17" customFormat="1" ht="11.25">
      <c r="A140" s="24"/>
      <c r="C140" s="24"/>
      <c r="D140" s="36"/>
      <c r="E140" s="36"/>
      <c r="F140" s="36"/>
      <c r="G140" s="36"/>
      <c r="H140" s="36"/>
      <c r="I140" s="36"/>
      <c r="J140" s="35"/>
      <c r="K140" s="45"/>
      <c r="N140" s="35"/>
      <c r="U140" s="35"/>
    </row>
    <row r="141" spans="1:21" s="17" customFormat="1" ht="11.25">
      <c r="A141" s="24"/>
      <c r="C141" s="24"/>
      <c r="D141" s="36"/>
      <c r="E141" s="36"/>
      <c r="F141" s="36"/>
      <c r="G141" s="36"/>
      <c r="H141" s="36"/>
      <c r="I141" s="36"/>
      <c r="J141" s="35"/>
      <c r="K141" s="45"/>
      <c r="M141" s="36"/>
      <c r="N141" s="35"/>
      <c r="U141" s="35"/>
    </row>
    <row r="142" spans="1:21" s="17" customFormat="1" ht="11.25">
      <c r="A142" s="24"/>
      <c r="C142" s="24"/>
      <c r="D142" s="36"/>
      <c r="E142" s="36"/>
      <c r="F142" s="36"/>
      <c r="G142" s="36"/>
      <c r="H142" s="36"/>
      <c r="I142" s="36"/>
      <c r="J142" s="35"/>
      <c r="K142" s="45"/>
      <c r="M142" s="36"/>
      <c r="N142" s="35"/>
      <c r="U142" s="35"/>
    </row>
    <row r="143" spans="1:21" s="17" customFormat="1" ht="11.25">
      <c r="A143" s="24"/>
      <c r="C143" s="24"/>
      <c r="D143" s="36"/>
      <c r="E143" s="36"/>
      <c r="F143" s="36"/>
      <c r="G143" s="36"/>
      <c r="H143" s="36"/>
      <c r="I143" s="36"/>
      <c r="J143" s="35"/>
      <c r="K143" s="45"/>
      <c r="M143" s="36"/>
      <c r="N143" s="35"/>
      <c r="U143" s="35"/>
    </row>
    <row r="144" spans="1:21" s="17" customFormat="1" ht="11.25">
      <c r="A144" s="24"/>
      <c r="C144" s="24"/>
      <c r="D144" s="36"/>
      <c r="E144" s="36"/>
      <c r="F144" s="36"/>
      <c r="G144" s="36"/>
      <c r="H144" s="36"/>
      <c r="I144" s="36"/>
      <c r="J144" s="35"/>
      <c r="K144" s="45"/>
      <c r="L144" s="59"/>
      <c r="M144" s="36"/>
      <c r="N144" s="35"/>
      <c r="U144" s="35"/>
    </row>
    <row r="145" spans="1:21" s="17" customFormat="1" ht="11.25">
      <c r="A145" s="24"/>
      <c r="C145" s="24"/>
      <c r="D145" s="36"/>
      <c r="E145" s="36"/>
      <c r="F145" s="36"/>
      <c r="G145" s="36"/>
      <c r="H145" s="36"/>
      <c r="I145" s="36"/>
      <c r="J145" s="35"/>
      <c r="K145" s="45"/>
      <c r="L145" s="59"/>
      <c r="M145" s="36"/>
      <c r="N145" s="35"/>
      <c r="U145" s="35"/>
    </row>
    <row r="146" spans="1:21" s="17" customFormat="1" ht="11.25">
      <c r="A146" s="24"/>
      <c r="C146" s="24"/>
      <c r="D146" s="36"/>
      <c r="E146" s="36"/>
      <c r="F146" s="36"/>
      <c r="G146" s="36"/>
      <c r="H146" s="36"/>
      <c r="I146" s="36"/>
      <c r="J146" s="35"/>
      <c r="K146" s="45"/>
      <c r="L146" s="59"/>
      <c r="M146" s="36"/>
      <c r="N146" s="35"/>
      <c r="U146" s="35"/>
    </row>
    <row r="147" spans="1:21" s="17" customFormat="1" ht="11.25">
      <c r="A147" s="24"/>
      <c r="C147" s="24"/>
      <c r="D147" s="36"/>
      <c r="E147" s="36"/>
      <c r="F147" s="36"/>
      <c r="G147" s="37"/>
      <c r="H147" s="37"/>
      <c r="I147" s="37"/>
      <c r="J147" s="35"/>
      <c r="K147" s="24"/>
      <c r="L147" s="36"/>
      <c r="M147" s="45"/>
      <c r="N147" s="35"/>
      <c r="O147" s="36"/>
      <c r="P147" s="45"/>
      <c r="U147" s="35"/>
    </row>
    <row r="148" spans="1:21" s="17" customFormat="1" ht="11.25">
      <c r="A148" s="24"/>
      <c r="C148" s="24"/>
      <c r="D148" s="37"/>
      <c r="E148" s="37"/>
      <c r="F148" s="37"/>
      <c r="G148" s="37"/>
      <c r="H148" s="37"/>
      <c r="I148" s="37"/>
      <c r="J148" s="35"/>
      <c r="K148" s="24"/>
      <c r="L148" s="36"/>
      <c r="M148" s="45"/>
      <c r="N148" s="35"/>
      <c r="O148" s="36"/>
      <c r="P148" s="45"/>
      <c r="U148" s="35"/>
    </row>
    <row r="149" spans="1:21" s="17" customFormat="1" ht="11.25">
      <c r="A149" s="24"/>
      <c r="C149" s="24"/>
      <c r="D149" s="37"/>
      <c r="E149" s="37"/>
      <c r="F149" s="37"/>
      <c r="G149" s="37"/>
      <c r="H149" s="37"/>
      <c r="I149" s="37"/>
      <c r="J149" s="35"/>
      <c r="K149" s="24"/>
      <c r="L149" s="36"/>
      <c r="M149" s="45"/>
      <c r="N149" s="35"/>
      <c r="O149" s="36"/>
      <c r="P149" s="45"/>
      <c r="U149" s="35"/>
    </row>
    <row r="150" spans="1:21" s="17" customFormat="1" ht="11.25">
      <c r="A150" s="24"/>
      <c r="C150" s="24"/>
      <c r="D150" s="37"/>
      <c r="E150" s="37"/>
      <c r="F150" s="37"/>
      <c r="G150" s="37"/>
      <c r="H150" s="37"/>
      <c r="I150" s="37"/>
      <c r="J150" s="35"/>
      <c r="K150" s="24"/>
      <c r="L150" s="36"/>
      <c r="M150" s="45"/>
      <c r="N150" s="35"/>
      <c r="O150" s="36"/>
      <c r="P150" s="45"/>
      <c r="U150" s="35"/>
    </row>
    <row r="151" spans="1:21" s="17" customFormat="1" ht="11.25">
      <c r="A151" s="24"/>
      <c r="C151" s="24"/>
      <c r="D151" s="37"/>
      <c r="E151" s="37"/>
      <c r="F151" s="37"/>
      <c r="G151" s="37"/>
      <c r="H151" s="37"/>
      <c r="I151" s="37"/>
      <c r="J151" s="35"/>
      <c r="K151" s="24"/>
      <c r="L151" s="36"/>
      <c r="M151" s="45"/>
      <c r="N151" s="35"/>
      <c r="O151" s="36"/>
      <c r="P151" s="45"/>
      <c r="U151" s="35"/>
    </row>
    <row r="152" spans="1:21" s="17" customFormat="1" ht="11.25">
      <c r="A152" s="24"/>
      <c r="C152" s="24"/>
      <c r="D152" s="37"/>
      <c r="E152" s="37"/>
      <c r="F152" s="37"/>
      <c r="G152" s="37"/>
      <c r="H152" s="37"/>
      <c r="I152" s="37"/>
      <c r="J152" s="35"/>
      <c r="K152" s="24"/>
      <c r="L152" s="36"/>
      <c r="M152" s="45"/>
      <c r="N152" s="35"/>
      <c r="O152" s="36"/>
      <c r="P152" s="45"/>
      <c r="U152" s="35"/>
    </row>
    <row r="153" spans="1:21" s="17" customFormat="1" ht="11.25">
      <c r="A153" s="24"/>
      <c r="C153" s="24"/>
      <c r="D153" s="37"/>
      <c r="E153" s="37"/>
      <c r="F153" s="37"/>
      <c r="G153" s="37"/>
      <c r="H153" s="37"/>
      <c r="I153" s="37"/>
      <c r="J153" s="35"/>
      <c r="K153" s="24"/>
      <c r="L153" s="36"/>
      <c r="M153" s="45"/>
      <c r="N153" s="35"/>
      <c r="O153" s="36"/>
      <c r="P153" s="45"/>
      <c r="U153" s="35"/>
    </row>
    <row r="154" spans="1:21" s="17" customFormat="1" ht="11.25">
      <c r="A154" s="24"/>
      <c r="C154" s="24"/>
      <c r="D154" s="37"/>
      <c r="E154" s="37"/>
      <c r="F154" s="37"/>
      <c r="G154" s="37"/>
      <c r="H154" s="37"/>
      <c r="I154" s="37"/>
      <c r="J154" s="35"/>
      <c r="K154" s="24"/>
      <c r="L154" s="36"/>
      <c r="M154" s="45"/>
      <c r="N154" s="35"/>
      <c r="O154" s="36"/>
      <c r="P154" s="45"/>
      <c r="U154" s="35"/>
    </row>
    <row r="155" spans="1:21" s="17" customFormat="1" ht="11.25">
      <c r="A155" s="24"/>
      <c r="C155" s="24"/>
      <c r="D155" s="37"/>
      <c r="E155" s="37"/>
      <c r="F155" s="37"/>
      <c r="G155" s="37"/>
      <c r="H155" s="37"/>
      <c r="I155" s="37"/>
      <c r="J155" s="35"/>
      <c r="K155" s="24"/>
      <c r="L155" s="36"/>
      <c r="M155" s="45"/>
      <c r="N155" s="35"/>
      <c r="O155" s="36"/>
      <c r="P155" s="45"/>
      <c r="U155" s="35"/>
    </row>
    <row r="156" spans="1:21" s="17" customFormat="1" ht="11.25">
      <c r="A156" s="24"/>
      <c r="C156" s="24"/>
      <c r="D156" s="37"/>
      <c r="E156" s="37"/>
      <c r="F156" s="37"/>
      <c r="G156" s="37"/>
      <c r="H156" s="37"/>
      <c r="I156" s="37"/>
      <c r="J156" s="35"/>
      <c r="K156" s="24"/>
      <c r="L156" s="36"/>
      <c r="M156" s="45"/>
      <c r="N156" s="35"/>
      <c r="O156" s="36"/>
      <c r="P156" s="45"/>
      <c r="U156" s="35"/>
    </row>
    <row r="157" spans="1:21" s="17" customFormat="1" ht="11.25">
      <c r="A157" s="24"/>
      <c r="C157" s="24"/>
      <c r="D157" s="37"/>
      <c r="E157" s="37"/>
      <c r="F157" s="37"/>
      <c r="G157" s="37"/>
      <c r="H157" s="37"/>
      <c r="I157" s="37"/>
      <c r="J157" s="35"/>
      <c r="K157" s="24"/>
      <c r="L157" s="36"/>
      <c r="M157" s="45"/>
      <c r="N157" s="35"/>
      <c r="O157" s="36"/>
      <c r="P157" s="45"/>
      <c r="U157" s="35"/>
    </row>
    <row r="158" spans="1:21" s="17" customFormat="1" ht="11.25">
      <c r="A158" s="24"/>
      <c r="C158" s="24"/>
      <c r="D158" s="37"/>
      <c r="E158" s="37"/>
      <c r="F158" s="37"/>
      <c r="G158" s="37"/>
      <c r="H158" s="37"/>
      <c r="I158" s="37"/>
      <c r="J158" s="35"/>
      <c r="K158" s="24"/>
      <c r="L158" s="36"/>
      <c r="M158" s="45"/>
      <c r="N158" s="35"/>
      <c r="O158" s="36"/>
      <c r="P158" s="45"/>
      <c r="U158" s="35"/>
    </row>
    <row r="159" spans="1:21" s="17" customFormat="1" ht="11.25">
      <c r="A159" s="24"/>
      <c r="C159" s="24"/>
      <c r="D159" s="37"/>
      <c r="E159" s="37"/>
      <c r="F159" s="37"/>
      <c r="G159" s="37"/>
      <c r="H159" s="37"/>
      <c r="I159" s="37"/>
      <c r="J159" s="35"/>
      <c r="K159" s="24"/>
      <c r="L159" s="36"/>
      <c r="M159" s="45"/>
      <c r="N159" s="35"/>
      <c r="O159" s="36"/>
      <c r="P159" s="45"/>
      <c r="U159" s="35"/>
    </row>
    <row r="160" spans="1:21" s="17" customFormat="1" ht="11.25">
      <c r="A160" s="24"/>
      <c r="C160" s="24"/>
      <c r="D160" s="37"/>
      <c r="E160" s="37"/>
      <c r="F160" s="37"/>
      <c r="G160" s="37"/>
      <c r="H160" s="37"/>
      <c r="I160" s="37"/>
      <c r="J160" s="35"/>
      <c r="K160" s="24"/>
      <c r="L160" s="36"/>
      <c r="M160" s="45"/>
      <c r="N160" s="35"/>
      <c r="O160" s="36"/>
      <c r="P160" s="45"/>
      <c r="U160" s="35"/>
    </row>
    <row r="161" spans="1:21" s="17" customFormat="1" ht="11.25">
      <c r="A161" s="24"/>
      <c r="C161" s="24"/>
      <c r="D161" s="37"/>
      <c r="E161" s="37"/>
      <c r="F161" s="37"/>
      <c r="G161" s="36"/>
      <c r="H161" s="36"/>
      <c r="I161" s="36"/>
      <c r="J161" s="35"/>
      <c r="N161" s="35"/>
      <c r="U161" s="35"/>
    </row>
    <row r="162" spans="1:21" s="17" customFormat="1" ht="11.25">
      <c r="A162" s="24"/>
      <c r="D162" s="36"/>
      <c r="E162" s="36"/>
      <c r="F162" s="36"/>
      <c r="G162" s="36"/>
      <c r="H162" s="36"/>
      <c r="I162" s="36"/>
      <c r="J162" s="35"/>
      <c r="N162" s="35"/>
      <c r="U162" s="35"/>
    </row>
    <row r="163" spans="4:21" s="17" customFormat="1" ht="11.25">
      <c r="D163" s="36"/>
      <c r="E163" s="36"/>
      <c r="F163" s="36"/>
      <c r="G163" s="36"/>
      <c r="H163" s="36"/>
      <c r="I163" s="36"/>
      <c r="J163" s="35"/>
      <c r="N163" s="35"/>
      <c r="U163" s="35"/>
    </row>
    <row r="164" spans="4:21" s="17" customFormat="1" ht="11.25">
      <c r="D164" s="36"/>
      <c r="E164" s="36"/>
      <c r="F164" s="36"/>
      <c r="G164" s="36"/>
      <c r="H164" s="36"/>
      <c r="I164" s="36"/>
      <c r="J164" s="35"/>
      <c r="N164" s="35"/>
      <c r="U164" s="35"/>
    </row>
    <row r="165" spans="4:21" s="17" customFormat="1" ht="11.25">
      <c r="D165" s="36"/>
      <c r="E165" s="36"/>
      <c r="F165" s="36"/>
      <c r="G165" s="36"/>
      <c r="H165" s="36"/>
      <c r="I165" s="36"/>
      <c r="J165" s="35"/>
      <c r="N165" s="35"/>
      <c r="U165" s="35"/>
    </row>
    <row r="166" spans="2:21" s="17" customFormat="1" ht="11.25">
      <c r="B166" s="60"/>
      <c r="D166" s="36"/>
      <c r="E166" s="36"/>
      <c r="F166" s="36"/>
      <c r="G166" s="36"/>
      <c r="H166" s="36"/>
      <c r="I166" s="36"/>
      <c r="J166" s="35"/>
      <c r="N166" s="35"/>
      <c r="U166" s="35"/>
    </row>
    <row r="167" spans="4:21" s="17" customFormat="1" ht="11.25">
      <c r="D167" s="36"/>
      <c r="E167" s="36"/>
      <c r="F167" s="36"/>
      <c r="G167" s="36"/>
      <c r="H167" s="36"/>
      <c r="I167" s="36"/>
      <c r="J167" s="35"/>
      <c r="N167" s="35"/>
      <c r="U167" s="35"/>
    </row>
    <row r="168" spans="4:21" s="17" customFormat="1" ht="11.25">
      <c r="D168" s="36"/>
      <c r="E168" s="36"/>
      <c r="F168" s="36"/>
      <c r="G168" s="36"/>
      <c r="H168" s="36"/>
      <c r="I168" s="36"/>
      <c r="J168" s="35"/>
      <c r="N168" s="35"/>
      <c r="U168" s="35"/>
    </row>
    <row r="169" spans="4:21" s="17" customFormat="1" ht="11.25">
      <c r="D169" s="36"/>
      <c r="E169" s="36"/>
      <c r="F169" s="36"/>
      <c r="G169" s="36"/>
      <c r="H169" s="36"/>
      <c r="I169" s="36"/>
      <c r="J169" s="35"/>
      <c r="N169" s="35"/>
      <c r="U169" s="35"/>
    </row>
    <row r="170" spans="4:21" s="17" customFormat="1" ht="11.25">
      <c r="D170" s="36"/>
      <c r="E170" s="36"/>
      <c r="F170" s="36"/>
      <c r="G170" s="36"/>
      <c r="H170" s="36"/>
      <c r="I170" s="36"/>
      <c r="J170" s="35"/>
      <c r="N170" s="35"/>
      <c r="U170" s="35"/>
    </row>
    <row r="171" spans="4:21" s="17" customFormat="1" ht="11.25">
      <c r="D171" s="36"/>
      <c r="E171" s="36"/>
      <c r="F171" s="36"/>
      <c r="G171" s="36"/>
      <c r="H171" s="36"/>
      <c r="I171" s="36"/>
      <c r="J171" s="35"/>
      <c r="N171" s="35"/>
      <c r="U171" s="35"/>
    </row>
    <row r="172" spans="4:21" s="17" customFormat="1" ht="11.25">
      <c r="D172" s="36"/>
      <c r="E172" s="36"/>
      <c r="F172" s="36"/>
      <c r="G172" s="36"/>
      <c r="H172" s="36"/>
      <c r="I172" s="36"/>
      <c r="J172" s="35"/>
      <c r="N172" s="35"/>
      <c r="U172" s="35"/>
    </row>
    <row r="173" spans="1:6" ht="11.25">
      <c r="A173" s="17"/>
      <c r="B173" s="17"/>
      <c r="C173" s="17"/>
      <c r="D173" s="36"/>
      <c r="E173" s="36"/>
      <c r="F173" s="36"/>
    </row>
    <row r="174" spans="1:2" ht="11.25">
      <c r="A174" s="17"/>
      <c r="B174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60" r:id="rId3"/>
  <headerFooter alignWithMargins="0">
    <oddHeader>&amp;CFY09 Special Revenue Funds</oddHeader>
    <oddFooter>&amp;CPage 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2"/>
  <sheetViews>
    <sheetView zoomScale="75" zoomScaleNormal="75" workbookViewId="0" topLeftCell="A1">
      <selection activeCell="H35" sqref="H35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8.8515625" style="0" hidden="1" customWidth="1"/>
    <col min="4" max="4" width="12.00390625" style="0" hidden="1" customWidth="1"/>
    <col min="5" max="7" width="10.8515625" style="0" hidden="1" customWidth="1"/>
    <col min="8" max="8" width="10.8515625" style="0" bestFit="1" customWidth="1"/>
    <col min="9" max="11" width="10.00390625" style="0" customWidth="1"/>
    <col min="12" max="12" width="11.7109375" style="0" customWidth="1"/>
    <col min="13" max="13" width="8.00390625" style="0" bestFit="1" customWidth="1"/>
    <col min="14" max="14" width="7.7109375" style="0" bestFit="1" customWidth="1"/>
    <col min="16" max="16" width="10.7109375" style="0" bestFit="1" customWidth="1"/>
    <col min="18" max="18" width="6.8515625" style="24" bestFit="1" customWidth="1"/>
    <col min="19" max="19" width="10.7109375" style="0" customWidth="1"/>
  </cols>
  <sheetData>
    <row r="1" spans="1:18" ht="12.75">
      <c r="A1" t="s">
        <v>0</v>
      </c>
      <c r="B1" s="21"/>
      <c r="R1" s="17"/>
    </row>
    <row r="2" spans="1:18" ht="12.75">
      <c r="A2" t="s">
        <v>93</v>
      </c>
      <c r="C2" s="87"/>
      <c r="D2" s="87"/>
      <c r="E2" s="87"/>
      <c r="F2" s="87"/>
      <c r="G2" s="87"/>
      <c r="H2" s="87"/>
      <c r="I2" s="87"/>
      <c r="J2" s="87"/>
      <c r="K2" s="87"/>
      <c r="L2" s="88">
        <v>6</v>
      </c>
      <c r="M2" s="89"/>
      <c r="N2" s="87"/>
      <c r="O2" s="87"/>
      <c r="P2" s="87"/>
      <c r="Q2" s="87"/>
      <c r="R2" s="17"/>
    </row>
    <row r="3" spans="1:18" ht="12.75">
      <c r="A3" s="1" t="s">
        <v>104</v>
      </c>
      <c r="C3" s="90" t="s">
        <v>29</v>
      </c>
      <c r="D3" s="90"/>
      <c r="E3" s="90"/>
      <c r="F3" s="90"/>
      <c r="G3" s="90"/>
      <c r="H3" s="90"/>
      <c r="I3" s="90"/>
      <c r="J3" s="90"/>
      <c r="K3" s="90"/>
      <c r="L3" s="89" t="s">
        <v>2</v>
      </c>
      <c r="M3" s="89"/>
      <c r="N3" s="90"/>
      <c r="O3" s="91" t="s">
        <v>3</v>
      </c>
      <c r="P3" s="91" t="s">
        <v>4</v>
      </c>
      <c r="Q3" s="91" t="s">
        <v>5</v>
      </c>
      <c r="R3" s="26" t="s">
        <v>84</v>
      </c>
    </row>
    <row r="4" spans="3:18" ht="12.75">
      <c r="C4" s="90" t="s">
        <v>30</v>
      </c>
      <c r="D4" s="90" t="s">
        <v>6</v>
      </c>
      <c r="E4" s="90" t="s">
        <v>6</v>
      </c>
      <c r="F4" s="90" t="s">
        <v>6</v>
      </c>
      <c r="G4" s="90" t="s">
        <v>6</v>
      </c>
      <c r="H4" s="90" t="s">
        <v>6</v>
      </c>
      <c r="I4" s="90" t="s">
        <v>6</v>
      </c>
      <c r="J4" s="90" t="s">
        <v>6</v>
      </c>
      <c r="K4" s="90" t="s">
        <v>6</v>
      </c>
      <c r="L4" s="90" t="s">
        <v>6</v>
      </c>
      <c r="M4" s="90" t="s">
        <v>105</v>
      </c>
      <c r="N4" s="90" t="s">
        <v>8</v>
      </c>
      <c r="O4" s="91" t="s">
        <v>9</v>
      </c>
      <c r="P4" s="91" t="s">
        <v>10</v>
      </c>
      <c r="Q4" s="91" t="s">
        <v>11</v>
      </c>
      <c r="R4" s="26" t="s">
        <v>85</v>
      </c>
    </row>
    <row r="5" spans="1:19" ht="13.5" thickBot="1">
      <c r="A5" t="s">
        <v>12</v>
      </c>
      <c r="C5" s="6">
        <v>1999</v>
      </c>
      <c r="D5" s="6">
        <v>2000</v>
      </c>
      <c r="E5" s="6">
        <v>2001</v>
      </c>
      <c r="F5" s="6">
        <v>2002</v>
      </c>
      <c r="G5" s="6">
        <v>2003</v>
      </c>
      <c r="H5" s="6">
        <v>2004</v>
      </c>
      <c r="I5" s="6">
        <v>2005</v>
      </c>
      <c r="J5" s="6">
        <v>2006</v>
      </c>
      <c r="K5" s="6">
        <v>2007</v>
      </c>
      <c r="L5" s="145">
        <v>2008</v>
      </c>
      <c r="M5" s="145">
        <v>2008</v>
      </c>
      <c r="N5" s="145">
        <v>2008</v>
      </c>
      <c r="O5" s="145">
        <v>2009</v>
      </c>
      <c r="P5" s="145">
        <v>2009</v>
      </c>
      <c r="Q5" s="145">
        <v>2009</v>
      </c>
      <c r="R5" s="19" t="s">
        <v>406</v>
      </c>
      <c r="S5" s="7" t="s">
        <v>13</v>
      </c>
    </row>
    <row r="6" spans="2:18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10"/>
      <c r="P6" s="10"/>
      <c r="Q6" s="10"/>
      <c r="R6" s="62"/>
    </row>
    <row r="7" spans="1:18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96"/>
    </row>
    <row r="8" spans="1:18" ht="12.75">
      <c r="A8" s="11" t="s">
        <v>94</v>
      </c>
      <c r="B8" s="9">
        <v>35.111</v>
      </c>
      <c r="C8" s="10">
        <v>6122</v>
      </c>
      <c r="D8" s="10">
        <v>5342</v>
      </c>
      <c r="E8" s="10">
        <v>6478</v>
      </c>
      <c r="F8" s="10">
        <v>7963</v>
      </c>
      <c r="G8" s="10">
        <v>6495</v>
      </c>
      <c r="H8" s="10">
        <v>33104</v>
      </c>
      <c r="I8" s="10">
        <f>9657+559</f>
        <v>10216</v>
      </c>
      <c r="J8" s="10">
        <v>8606.52</v>
      </c>
      <c r="K8" s="10">
        <f>8130+423</f>
        <v>8553</v>
      </c>
      <c r="L8" s="10">
        <v>3527</v>
      </c>
      <c r="M8" s="10">
        <f>+L8/$L$2*12</f>
        <v>7054</v>
      </c>
      <c r="N8" s="85">
        <v>8000</v>
      </c>
      <c r="O8" s="85">
        <v>8000</v>
      </c>
      <c r="P8" s="85">
        <v>8000</v>
      </c>
      <c r="Q8" s="85">
        <v>8000</v>
      </c>
      <c r="R8" s="96">
        <f>(Q8-N8)/N8</f>
        <v>0</v>
      </c>
    </row>
    <row r="9" spans="1:18" ht="12.75">
      <c r="A9" s="11" t="s">
        <v>95</v>
      </c>
      <c r="B9" s="9">
        <v>35.113</v>
      </c>
      <c r="C9" s="10">
        <v>1295</v>
      </c>
      <c r="D9" s="10">
        <v>1502</v>
      </c>
      <c r="E9" s="10">
        <v>1522</v>
      </c>
      <c r="F9" s="10">
        <v>2454</v>
      </c>
      <c r="G9" s="10">
        <v>868</v>
      </c>
      <c r="H9" s="10">
        <v>1449</v>
      </c>
      <c r="I9" s="10">
        <f>1261+70</f>
        <v>1331</v>
      </c>
      <c r="J9" s="10">
        <v>1776.81</v>
      </c>
      <c r="K9" s="10">
        <f>2458+224</f>
        <v>2682</v>
      </c>
      <c r="L9" s="10">
        <v>1053</v>
      </c>
      <c r="M9" s="10">
        <f>+L9/$L$2*12</f>
        <v>2106</v>
      </c>
      <c r="N9" s="85">
        <v>2000</v>
      </c>
      <c r="O9" s="85">
        <v>2000</v>
      </c>
      <c r="P9" s="85">
        <v>2000</v>
      </c>
      <c r="Q9" s="85">
        <v>2000</v>
      </c>
      <c r="R9" s="96">
        <f aca="true" t="shared" si="0" ref="R9:R21">(Q9-N9)/N9</f>
        <v>0</v>
      </c>
    </row>
    <row r="10" spans="1:18" ht="12.75">
      <c r="A10" s="11" t="s">
        <v>96</v>
      </c>
      <c r="B10" s="9">
        <v>35.115</v>
      </c>
      <c r="C10" s="10">
        <v>10789</v>
      </c>
      <c r="D10" s="10">
        <v>10821</v>
      </c>
      <c r="E10" s="10">
        <v>9930</v>
      </c>
      <c r="F10" s="10">
        <v>10558</v>
      </c>
      <c r="G10" s="10">
        <v>10079</v>
      </c>
      <c r="H10" s="10">
        <v>10920</v>
      </c>
      <c r="I10" s="10">
        <f>11214+1169</f>
        <v>12383</v>
      </c>
      <c r="J10" s="10">
        <v>14349</v>
      </c>
      <c r="K10" s="10">
        <f>15755+1040</f>
        <v>16795</v>
      </c>
      <c r="L10" s="10">
        <v>6230</v>
      </c>
      <c r="M10" s="10">
        <f>+L10/$L$2*12</f>
        <v>12460</v>
      </c>
      <c r="N10" s="85">
        <v>12000</v>
      </c>
      <c r="O10" s="85">
        <v>12000</v>
      </c>
      <c r="P10" s="85">
        <v>12000</v>
      </c>
      <c r="Q10" s="85">
        <v>12000</v>
      </c>
      <c r="R10" s="96">
        <f t="shared" si="0"/>
        <v>0</v>
      </c>
    </row>
    <row r="11" spans="1:18" ht="12.75">
      <c r="A11" s="11" t="s">
        <v>32</v>
      </c>
      <c r="B11" s="9">
        <v>36.1</v>
      </c>
      <c r="C11" s="10">
        <v>360</v>
      </c>
      <c r="D11" s="92">
        <v>375</v>
      </c>
      <c r="E11" s="92">
        <v>406</v>
      </c>
      <c r="F11" s="92">
        <v>119</v>
      </c>
      <c r="G11" s="92">
        <v>24</v>
      </c>
      <c r="H11" s="92">
        <v>48</v>
      </c>
      <c r="I11" s="92">
        <v>174</v>
      </c>
      <c r="J11" s="92">
        <v>1400</v>
      </c>
      <c r="K11" s="92">
        <v>1901</v>
      </c>
      <c r="L11" s="92"/>
      <c r="M11" s="92">
        <v>1700</v>
      </c>
      <c r="N11" s="93">
        <v>1700</v>
      </c>
      <c r="O11" s="93">
        <v>1700</v>
      </c>
      <c r="P11" s="93">
        <v>1700</v>
      </c>
      <c r="Q11" s="93">
        <v>1700</v>
      </c>
      <c r="R11" s="139"/>
    </row>
    <row r="12" spans="1:18" ht="12.75">
      <c r="A12" s="94" t="s">
        <v>19</v>
      </c>
      <c r="B12" s="9"/>
      <c r="C12" s="10">
        <f>SUM(C8:C11)</f>
        <v>18566</v>
      </c>
      <c r="D12" s="10">
        <f>SUM(D8:D11)</f>
        <v>18040</v>
      </c>
      <c r="E12" s="10">
        <f>SUM(E8:E11)</f>
        <v>18336</v>
      </c>
      <c r="F12" s="10">
        <v>21094</v>
      </c>
      <c r="G12" s="10">
        <v>17466</v>
      </c>
      <c r="H12" s="10">
        <v>45521</v>
      </c>
      <c r="I12" s="10">
        <f aca="true" t="shared" si="1" ref="I12:Q12">SUM(I8:I11)</f>
        <v>24104</v>
      </c>
      <c r="J12" s="10">
        <v>29931</v>
      </c>
      <c r="K12" s="10">
        <f t="shared" si="1"/>
        <v>29931</v>
      </c>
      <c r="L12" s="10">
        <f t="shared" si="1"/>
        <v>10810</v>
      </c>
      <c r="M12" s="10">
        <f t="shared" si="1"/>
        <v>23320</v>
      </c>
      <c r="N12" s="10">
        <f t="shared" si="1"/>
        <v>23700</v>
      </c>
      <c r="O12" s="10">
        <f t="shared" si="1"/>
        <v>23700</v>
      </c>
      <c r="P12" s="10">
        <f t="shared" si="1"/>
        <v>23700</v>
      </c>
      <c r="Q12" s="10">
        <f t="shared" si="1"/>
        <v>23700</v>
      </c>
      <c r="R12" s="96">
        <f>(Q12-N12)/N12</f>
        <v>0</v>
      </c>
    </row>
    <row r="13" spans="2:18" ht="12.7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85"/>
      <c r="Q13" s="10"/>
      <c r="R13" s="96"/>
    </row>
    <row r="14" spans="1:18" ht="12.75">
      <c r="A14" s="1" t="s">
        <v>97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85"/>
      <c r="Q14" s="10"/>
      <c r="R14" s="96"/>
    </row>
    <row r="15" spans="1:18" ht="12.75">
      <c r="A15" s="11" t="s">
        <v>98</v>
      </c>
      <c r="B15" s="9">
        <v>52.131</v>
      </c>
      <c r="C15" s="10"/>
      <c r="D15" s="10"/>
      <c r="E15" s="10">
        <v>6477</v>
      </c>
      <c r="F15" s="10">
        <v>7439</v>
      </c>
      <c r="G15" s="10">
        <v>5004</v>
      </c>
      <c r="H15" s="10">
        <v>6804</v>
      </c>
      <c r="I15" s="10">
        <v>4587</v>
      </c>
      <c r="J15" s="10">
        <v>3753</v>
      </c>
      <c r="K15" s="10">
        <v>5439</v>
      </c>
      <c r="L15" s="10">
        <v>2502</v>
      </c>
      <c r="M15" s="10">
        <f>+L15/$L$2*12</f>
        <v>5004</v>
      </c>
      <c r="N15" s="85">
        <v>5500</v>
      </c>
      <c r="O15" s="85">
        <v>5500</v>
      </c>
      <c r="P15" s="85">
        <v>5500</v>
      </c>
      <c r="Q15" s="85">
        <v>5500</v>
      </c>
      <c r="R15" s="96">
        <f t="shared" si="0"/>
        <v>0</v>
      </c>
    </row>
    <row r="16" spans="1:18" ht="12.75">
      <c r="A16" s="11" t="s">
        <v>99</v>
      </c>
      <c r="B16" s="9">
        <v>52.22</v>
      </c>
      <c r="C16" s="10"/>
      <c r="D16" s="10"/>
      <c r="E16" s="10">
        <v>1626</v>
      </c>
      <c r="F16" s="10"/>
      <c r="G16" s="10">
        <v>3625</v>
      </c>
      <c r="H16" s="10">
        <v>3166</v>
      </c>
      <c r="I16" s="10">
        <v>4103</v>
      </c>
      <c r="J16" s="10">
        <v>8336</v>
      </c>
      <c r="K16" s="10">
        <v>8960</v>
      </c>
      <c r="L16" s="10">
        <v>4379</v>
      </c>
      <c r="M16" s="10">
        <f>+L16/$L$2*12</f>
        <v>8758</v>
      </c>
      <c r="N16" s="85">
        <v>8500</v>
      </c>
      <c r="O16" s="85">
        <v>8500</v>
      </c>
      <c r="P16" s="85">
        <v>8500</v>
      </c>
      <c r="Q16" s="85">
        <v>8500</v>
      </c>
      <c r="R16" s="96">
        <f t="shared" si="0"/>
        <v>0</v>
      </c>
    </row>
    <row r="17" spans="1:18" ht="12.75">
      <c r="A17" s="11" t="s">
        <v>66</v>
      </c>
      <c r="B17" s="9">
        <v>53.1702</v>
      </c>
      <c r="C17" s="10"/>
      <c r="D17" s="10"/>
      <c r="E17" s="10">
        <v>12411</v>
      </c>
      <c r="F17" s="10">
        <v>13493</v>
      </c>
      <c r="G17" s="10">
        <v>7425</v>
      </c>
      <c r="H17" s="10">
        <v>9680</v>
      </c>
      <c r="I17" s="10">
        <v>5544</v>
      </c>
      <c r="J17" s="10">
        <v>4352</v>
      </c>
      <c r="K17" s="10">
        <v>3126</v>
      </c>
      <c r="L17" s="10"/>
      <c r="M17" s="10">
        <v>5000</v>
      </c>
      <c r="N17" s="85">
        <v>5000</v>
      </c>
      <c r="O17" s="85">
        <v>5000</v>
      </c>
      <c r="P17" s="85">
        <v>5000</v>
      </c>
      <c r="Q17" s="85">
        <v>5000</v>
      </c>
      <c r="R17" s="96">
        <f t="shared" si="0"/>
        <v>0</v>
      </c>
    </row>
    <row r="18" spans="1:18" ht="12.75">
      <c r="A18" s="11" t="s">
        <v>100</v>
      </c>
      <c r="B18" s="9">
        <v>53.171</v>
      </c>
      <c r="C18" s="10"/>
      <c r="D18" s="10"/>
      <c r="E18" s="10"/>
      <c r="F18" s="10">
        <v>299</v>
      </c>
      <c r="G18" s="10"/>
      <c r="H18" s="10">
        <v>734</v>
      </c>
      <c r="I18" s="10"/>
      <c r="J18" s="10"/>
      <c r="K18" s="10"/>
      <c r="L18" s="10">
        <v>1704</v>
      </c>
      <c r="M18" s="10"/>
      <c r="N18" s="85"/>
      <c r="O18" s="85"/>
      <c r="P18" s="85"/>
      <c r="Q18" s="85"/>
      <c r="R18" s="96"/>
    </row>
    <row r="19" spans="1:19" ht="12.75">
      <c r="A19" s="11" t="s">
        <v>101</v>
      </c>
      <c r="B19" s="9">
        <v>53.172</v>
      </c>
      <c r="C19" s="10"/>
      <c r="D19" s="10"/>
      <c r="E19" s="10">
        <v>3398</v>
      </c>
      <c r="F19" s="10">
        <v>12849</v>
      </c>
      <c r="G19" s="10">
        <v>600</v>
      </c>
      <c r="H19" s="10">
        <v>3312</v>
      </c>
      <c r="I19" s="10">
        <v>1463</v>
      </c>
      <c r="J19" s="10">
        <v>5960</v>
      </c>
      <c r="K19" s="10">
        <v>7711</v>
      </c>
      <c r="L19" s="10"/>
      <c r="M19" s="10">
        <v>5100</v>
      </c>
      <c r="N19" s="85">
        <v>5100</v>
      </c>
      <c r="O19" s="85">
        <v>5100</v>
      </c>
      <c r="P19" s="85">
        <v>5100</v>
      </c>
      <c r="Q19" s="85">
        <v>5100</v>
      </c>
      <c r="R19" s="96">
        <f t="shared" si="0"/>
        <v>0</v>
      </c>
      <c r="S19" s="13"/>
    </row>
    <row r="20" spans="1:18" ht="12.75">
      <c r="A20" s="11" t="s">
        <v>102</v>
      </c>
      <c r="B20" s="9">
        <v>54.21</v>
      </c>
      <c r="C20" s="10">
        <v>22117</v>
      </c>
      <c r="D20" s="92">
        <v>21069</v>
      </c>
      <c r="E20" s="92">
        <v>5500</v>
      </c>
      <c r="F20" s="92">
        <v>900</v>
      </c>
      <c r="G20" s="92"/>
      <c r="H20" s="92">
        <v>1486</v>
      </c>
      <c r="I20" s="92"/>
      <c r="J20" s="92"/>
      <c r="K20" s="92"/>
      <c r="L20" s="92"/>
      <c r="M20" s="92"/>
      <c r="N20" s="92"/>
      <c r="O20" s="92"/>
      <c r="P20" s="92"/>
      <c r="Q20" s="93"/>
      <c r="R20" s="96"/>
    </row>
    <row r="21" spans="1:18" ht="12.75">
      <c r="A21" s="94" t="s">
        <v>103</v>
      </c>
      <c r="B21" s="9"/>
      <c r="C21" s="10">
        <f>SUM(C15:C20)</f>
        <v>22117</v>
      </c>
      <c r="D21" s="10">
        <f>SUM(D15:D20)</f>
        <v>21069</v>
      </c>
      <c r="E21" s="10">
        <f>SUM(E15:E20)</f>
        <v>29412</v>
      </c>
      <c r="F21" s="10">
        <v>34980</v>
      </c>
      <c r="G21" s="10">
        <v>16654</v>
      </c>
      <c r="H21" s="10">
        <v>25182</v>
      </c>
      <c r="I21" s="10">
        <v>15863</v>
      </c>
      <c r="J21" s="10">
        <v>28469</v>
      </c>
      <c r="K21" s="10">
        <v>25236</v>
      </c>
      <c r="L21" s="10">
        <f aca="true" t="shared" si="2" ref="L21:Q21">SUM(L15:L20)</f>
        <v>8585</v>
      </c>
      <c r="M21" s="10">
        <f t="shared" si="2"/>
        <v>23862</v>
      </c>
      <c r="N21" s="10">
        <f t="shared" si="2"/>
        <v>24100</v>
      </c>
      <c r="O21" s="10">
        <f t="shared" si="2"/>
        <v>24100</v>
      </c>
      <c r="P21" s="10">
        <f>SUM(P15:P20)</f>
        <v>24100</v>
      </c>
      <c r="Q21" s="10">
        <f t="shared" si="2"/>
        <v>24100</v>
      </c>
      <c r="R21" s="96">
        <f t="shared" si="0"/>
        <v>0</v>
      </c>
    </row>
    <row r="22" spans="1:18" ht="12.75">
      <c r="A22" s="94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5"/>
      <c r="Q22" s="10"/>
      <c r="R22" s="96"/>
    </row>
    <row r="23" spans="1:17" s="52" customFormat="1" ht="11.25">
      <c r="A23" s="140" t="s">
        <v>273</v>
      </c>
      <c r="B23" s="71"/>
      <c r="C23" s="70">
        <v>77649</v>
      </c>
      <c r="D23" s="80"/>
      <c r="E23" s="41">
        <f>E12-E21</f>
        <v>-11076</v>
      </c>
      <c r="F23" s="41">
        <v>-13886</v>
      </c>
      <c r="G23" s="41">
        <v>6083</v>
      </c>
      <c r="H23" s="41">
        <v>20339</v>
      </c>
      <c r="I23" s="41">
        <v>8240</v>
      </c>
      <c r="J23" s="41">
        <v>9</v>
      </c>
      <c r="K23" s="41">
        <v>4695</v>
      </c>
      <c r="L23" s="41">
        <f aca="true" t="shared" si="3" ref="L23:Q23">L12-L21</f>
        <v>2225</v>
      </c>
      <c r="M23" s="41">
        <f t="shared" si="3"/>
        <v>-542</v>
      </c>
      <c r="N23" s="41">
        <f t="shared" si="3"/>
        <v>-400</v>
      </c>
      <c r="O23" s="41">
        <f t="shared" si="3"/>
        <v>-400</v>
      </c>
      <c r="P23" s="41">
        <f t="shared" si="3"/>
        <v>-400</v>
      </c>
      <c r="Q23" s="41">
        <f t="shared" si="3"/>
        <v>-400</v>
      </c>
    </row>
    <row r="24" spans="6:18" ht="12.7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85"/>
      <c r="Q24" s="10"/>
      <c r="R24" s="96"/>
    </row>
    <row r="25" spans="6:18" ht="12.75">
      <c r="F25" s="10"/>
      <c r="G25" s="10"/>
      <c r="H25" s="10"/>
      <c r="I25" s="158"/>
      <c r="J25" s="10"/>
      <c r="K25" s="10"/>
      <c r="L25" s="10"/>
      <c r="M25" s="10"/>
      <c r="N25" s="10"/>
      <c r="O25" s="10"/>
      <c r="P25" s="85"/>
      <c r="Q25" s="10"/>
      <c r="R25" s="96"/>
    </row>
    <row r="26" spans="1:18" ht="12.75">
      <c r="A26" s="69" t="s">
        <v>420</v>
      </c>
      <c r="B26" s="71"/>
      <c r="H26" s="95">
        <v>24927</v>
      </c>
      <c r="R26" s="62"/>
    </row>
    <row r="27" spans="1:18" ht="12.75">
      <c r="A27" s="69" t="s">
        <v>421</v>
      </c>
      <c r="B27" s="72"/>
      <c r="H27" s="95">
        <v>15729</v>
      </c>
      <c r="I27" s="157">
        <v>-9198</v>
      </c>
      <c r="J27" s="148">
        <v>-0.5847797062750334</v>
      </c>
      <c r="K27" s="148"/>
      <c r="R27" s="62"/>
    </row>
    <row r="28" spans="1:18" ht="12.75">
      <c r="A28" s="69" t="s">
        <v>422</v>
      </c>
      <c r="B28" s="71"/>
      <c r="H28" s="95">
        <v>2260</v>
      </c>
      <c r="I28" s="157">
        <v>-13469</v>
      </c>
      <c r="J28" s="148">
        <v>-5.959734513274336</v>
      </c>
      <c r="K28" s="148"/>
      <c r="R28" s="62"/>
    </row>
    <row r="29" spans="1:18" ht="12.75">
      <c r="A29" s="69" t="s">
        <v>423</v>
      </c>
      <c r="H29" s="136">
        <v>8343</v>
      </c>
      <c r="I29" s="157">
        <v>6083</v>
      </c>
      <c r="J29" s="148">
        <v>0.7291142274961045</v>
      </c>
      <c r="K29" s="148"/>
      <c r="R29" s="62"/>
    </row>
    <row r="30" spans="1:18" ht="12.75">
      <c r="A30" s="69" t="s">
        <v>281</v>
      </c>
      <c r="B30" s="9"/>
      <c r="C30" s="10"/>
      <c r="H30" s="136">
        <v>28682</v>
      </c>
      <c r="I30" s="157">
        <v>20339</v>
      </c>
      <c r="J30" s="148">
        <v>0.709120702879855</v>
      </c>
      <c r="K30" s="148"/>
      <c r="R30" s="62"/>
    </row>
    <row r="31" spans="1:18" ht="12.75">
      <c r="A31" s="69" t="s">
        <v>320</v>
      </c>
      <c r="B31" s="9"/>
      <c r="C31" s="10"/>
      <c r="H31" s="136">
        <v>36922</v>
      </c>
      <c r="I31" s="157">
        <v>8240</v>
      </c>
      <c r="J31" s="148">
        <v>0.22317317588429664</v>
      </c>
      <c r="K31" s="148"/>
      <c r="N31" s="14"/>
      <c r="O31" s="14"/>
      <c r="P31" s="15"/>
      <c r="R31" s="62"/>
    </row>
    <row r="32" spans="1:18" ht="12.75">
      <c r="A32" s="69" t="s">
        <v>363</v>
      </c>
      <c r="B32" s="9"/>
      <c r="C32" s="10"/>
      <c r="H32" s="136">
        <v>36913</v>
      </c>
      <c r="I32" s="157">
        <v>-9</v>
      </c>
      <c r="J32" s="148">
        <v>-0.00024381654159781106</v>
      </c>
      <c r="K32" s="148"/>
      <c r="N32" s="14"/>
      <c r="O32" s="14"/>
      <c r="P32" s="15"/>
      <c r="R32" s="62"/>
    </row>
    <row r="33" spans="1:18" ht="12.75">
      <c r="A33" s="69" t="s">
        <v>429</v>
      </c>
      <c r="B33" s="9"/>
      <c r="C33" s="10"/>
      <c r="H33" s="136">
        <v>41608</v>
      </c>
      <c r="I33" s="157">
        <v>4695</v>
      </c>
      <c r="J33" s="148">
        <v>0.11283887713901172</v>
      </c>
      <c r="K33" s="148"/>
      <c r="M33" s="1"/>
      <c r="N33" s="14"/>
      <c r="O33" s="14"/>
      <c r="P33" s="15"/>
      <c r="R33" s="62"/>
    </row>
    <row r="34" spans="1:18" ht="12.75">
      <c r="A34" s="69" t="s">
        <v>356</v>
      </c>
      <c r="H34" s="136">
        <f>H33+N23</f>
        <v>41208</v>
      </c>
      <c r="I34" s="157">
        <f>H34-H33</f>
        <v>-400</v>
      </c>
      <c r="J34" s="148">
        <f>I34/H34</f>
        <v>-0.009706853038245</v>
      </c>
      <c r="K34" s="148"/>
      <c r="M34" s="1"/>
      <c r="O34" s="86"/>
      <c r="P34" s="86"/>
      <c r="Q34" s="86"/>
      <c r="R34" s="62"/>
    </row>
    <row r="35" spans="1:18" ht="12.75">
      <c r="A35" s="69" t="s">
        <v>359</v>
      </c>
      <c r="H35" s="136">
        <f>H34+Q23</f>
        <v>40808</v>
      </c>
      <c r="I35" s="157">
        <f>H35-H34</f>
        <v>-400</v>
      </c>
      <c r="J35" s="148">
        <f>I35/H35</f>
        <v>-0.009801999607920015</v>
      </c>
      <c r="K35" s="10"/>
      <c r="L35" s="10"/>
      <c r="M35" s="10"/>
      <c r="N35" s="10"/>
      <c r="O35" s="10"/>
      <c r="P35" s="85"/>
      <c r="Q35" s="10"/>
      <c r="R35" s="96"/>
    </row>
    <row r="36" ht="12.75">
      <c r="R36" s="62"/>
    </row>
    <row r="37" ht="12.75">
      <c r="R37" s="62"/>
    </row>
    <row r="38" ht="12.75">
      <c r="R38" s="62"/>
    </row>
    <row r="39" ht="12.75">
      <c r="R39" s="62"/>
    </row>
    <row r="40" ht="12.75">
      <c r="R40" s="62"/>
    </row>
    <row r="41" ht="12.75">
      <c r="R41" s="62"/>
    </row>
    <row r="42" ht="12.75">
      <c r="R42" s="62"/>
    </row>
    <row r="43" ht="12.75">
      <c r="R43" s="62"/>
    </row>
    <row r="44" ht="12.75">
      <c r="R44" s="62"/>
    </row>
    <row r="45" ht="12.75">
      <c r="R45" s="66"/>
    </row>
    <row r="46" ht="12.75">
      <c r="R46" s="62"/>
    </row>
    <row r="47" ht="12.75">
      <c r="R47" s="62"/>
    </row>
    <row r="48" ht="12.75">
      <c r="R48" s="62"/>
    </row>
    <row r="49" ht="12.75">
      <c r="R49" s="62"/>
    </row>
    <row r="50" ht="12.75">
      <c r="R50" s="62"/>
    </row>
    <row r="51" ht="12.75">
      <c r="R51" s="62"/>
    </row>
    <row r="52" ht="12.75">
      <c r="R52" s="65"/>
    </row>
    <row r="53" ht="12.75">
      <c r="R53" s="62"/>
    </row>
    <row r="54" ht="12.75">
      <c r="R54" s="62"/>
    </row>
    <row r="55" ht="12.75">
      <c r="R55" s="62"/>
    </row>
    <row r="56" ht="12.75">
      <c r="R56" s="62"/>
    </row>
    <row r="57" ht="12.75">
      <c r="R57" s="62"/>
    </row>
    <row r="58" ht="12.75">
      <c r="R58" s="65"/>
    </row>
    <row r="59" ht="12.75">
      <c r="R59" s="62"/>
    </row>
    <row r="60" ht="12.75">
      <c r="R60" s="62"/>
    </row>
    <row r="61" ht="12.75">
      <c r="R61" s="62"/>
    </row>
    <row r="62" ht="12.75">
      <c r="R62" s="62"/>
    </row>
    <row r="63" ht="12.75">
      <c r="R63" s="62"/>
    </row>
    <row r="64" ht="12.75">
      <c r="R64" s="62"/>
    </row>
    <row r="65" ht="12.75">
      <c r="R65" s="62"/>
    </row>
    <row r="66" ht="12.75">
      <c r="R66" s="62"/>
    </row>
    <row r="67" ht="12.75">
      <c r="R67" s="62"/>
    </row>
    <row r="68" ht="12.75">
      <c r="R68" s="62"/>
    </row>
    <row r="69" ht="12.75">
      <c r="R69" s="62"/>
    </row>
    <row r="70" ht="12.75">
      <c r="R70" s="62"/>
    </row>
    <row r="71" ht="12.75">
      <c r="R71" s="62"/>
    </row>
    <row r="72" ht="12.75">
      <c r="R72" s="62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O73" s="10"/>
      <c r="P73" s="10"/>
      <c r="Q73" s="10"/>
      <c r="R73" s="62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O74" s="10"/>
      <c r="P74" s="10"/>
      <c r="Q74" s="10"/>
      <c r="R74" s="62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O75" s="10"/>
      <c r="P75" s="10"/>
      <c r="Q75" s="10"/>
      <c r="R75" s="62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O76" s="10"/>
      <c r="P76" s="10"/>
      <c r="Q76" s="10"/>
      <c r="R76" s="62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O77" s="10"/>
      <c r="P77" s="10"/>
      <c r="Q77" s="10"/>
      <c r="R77" s="62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O78" s="10"/>
      <c r="P78" s="10"/>
      <c r="Q78" s="10"/>
      <c r="R78" s="65"/>
    </row>
    <row r="79" ht="12.75">
      <c r="R79" s="66"/>
    </row>
    <row r="80" ht="12.75">
      <c r="R80" s="66"/>
    </row>
    <row r="82" ht="12.75">
      <c r="R82" s="52"/>
    </row>
    <row r="83" ht="12.75">
      <c r="R83" s="52"/>
    </row>
    <row r="84" ht="12.75">
      <c r="R84" s="52"/>
    </row>
    <row r="85" ht="12.75">
      <c r="R85" s="52"/>
    </row>
    <row r="86" ht="12.75">
      <c r="R86" s="52"/>
    </row>
    <row r="87" ht="12.75">
      <c r="R87" s="52"/>
    </row>
    <row r="88" ht="12.75">
      <c r="R88" s="52"/>
    </row>
    <row r="89" ht="12.75">
      <c r="R89" s="52"/>
    </row>
    <row r="90" ht="12.75">
      <c r="R90" s="58"/>
    </row>
    <row r="91" ht="12.75">
      <c r="R91" s="58"/>
    </row>
    <row r="92" ht="12.75">
      <c r="R92" s="58"/>
    </row>
    <row r="93" ht="12.75">
      <c r="R93" s="58"/>
    </row>
    <row r="94" ht="12.75">
      <c r="R94" s="58"/>
    </row>
    <row r="95" ht="12.75">
      <c r="R95" s="58"/>
    </row>
    <row r="96" ht="12.75">
      <c r="R96" s="58"/>
    </row>
    <row r="97" ht="12.75">
      <c r="R97" s="58"/>
    </row>
    <row r="98" ht="12.75">
      <c r="R98" s="58"/>
    </row>
    <row r="99" ht="12.75">
      <c r="R99" s="58"/>
    </row>
    <row r="100" ht="12.75">
      <c r="R100" s="58"/>
    </row>
    <row r="101" ht="12.75">
      <c r="R101" s="58"/>
    </row>
    <row r="102" ht="12.75">
      <c r="R102" s="58"/>
    </row>
    <row r="103" ht="12.75">
      <c r="R103" s="58"/>
    </row>
    <row r="104" ht="12.75">
      <c r="R104" s="58"/>
    </row>
    <row r="105" ht="12.75">
      <c r="R105" s="58"/>
    </row>
    <row r="106" ht="12.75">
      <c r="R106" s="58"/>
    </row>
    <row r="107" ht="12.75">
      <c r="R107" s="58"/>
    </row>
    <row r="108" ht="12.75">
      <c r="R108" s="17"/>
    </row>
    <row r="109" ht="12.75">
      <c r="R109" s="17"/>
    </row>
    <row r="110" ht="12.75">
      <c r="R110" s="17"/>
    </row>
    <row r="111" ht="12.75">
      <c r="R111" s="17"/>
    </row>
    <row r="112" ht="12.75">
      <c r="R112" s="17"/>
    </row>
    <row r="113" ht="12.75">
      <c r="R113" s="17"/>
    </row>
    <row r="114" ht="12.75">
      <c r="R114" s="17"/>
    </row>
    <row r="115" ht="12.75">
      <c r="R115" s="17"/>
    </row>
    <row r="116" ht="12.75">
      <c r="R116" s="17"/>
    </row>
    <row r="117" ht="12.75">
      <c r="R117" s="45"/>
    </row>
    <row r="118" ht="12.75">
      <c r="R118" s="45"/>
    </row>
    <row r="119" ht="12.75">
      <c r="R119" s="45"/>
    </row>
    <row r="120" ht="12.75">
      <c r="R120" s="45"/>
    </row>
    <row r="121" ht="12.75">
      <c r="R121" s="45"/>
    </row>
    <row r="122" ht="12.75">
      <c r="R122" s="45"/>
    </row>
    <row r="123" ht="12.75">
      <c r="R123" s="45"/>
    </row>
    <row r="124" ht="12.75">
      <c r="R124" s="45"/>
    </row>
    <row r="125" ht="12.75">
      <c r="R125" s="45"/>
    </row>
    <row r="126" ht="12.75">
      <c r="R126" s="45"/>
    </row>
    <row r="127" ht="12.75">
      <c r="R127" s="45"/>
    </row>
    <row r="128" ht="12.75">
      <c r="R128" s="45"/>
    </row>
    <row r="129" ht="12.75">
      <c r="R129" s="45"/>
    </row>
    <row r="130" ht="12.75">
      <c r="R130" s="45"/>
    </row>
    <row r="131" ht="12.75">
      <c r="R131" s="17"/>
    </row>
    <row r="132" ht="12.75">
      <c r="R132" s="17"/>
    </row>
    <row r="133" ht="12.75">
      <c r="R133" s="17"/>
    </row>
    <row r="134" ht="12.75">
      <c r="R134" s="17"/>
    </row>
    <row r="135" ht="12.75">
      <c r="R135" s="17"/>
    </row>
    <row r="136" ht="12.75">
      <c r="R136" s="17"/>
    </row>
    <row r="137" ht="12.75">
      <c r="R137" s="17"/>
    </row>
    <row r="138" ht="12.75">
      <c r="R138" s="17"/>
    </row>
    <row r="139" ht="12.75">
      <c r="R139" s="17"/>
    </row>
    <row r="140" ht="12.75">
      <c r="R140" s="17"/>
    </row>
    <row r="141" ht="12.75">
      <c r="R141" s="17"/>
    </row>
    <row r="142" ht="12.75">
      <c r="R142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7" r:id="rId1"/>
  <headerFooter alignWithMargins="0">
    <oddHeader>&amp;CFY09 Special Revenue Funds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zoomScale="75" zoomScaleNormal="75" workbookViewId="0" topLeftCell="A1">
      <selection activeCell="D27" sqref="D27"/>
    </sheetView>
  </sheetViews>
  <sheetFormatPr defaultColWidth="9.140625" defaultRowHeight="12.75"/>
  <cols>
    <col min="1" max="1" width="34.00390625" style="0" customWidth="1"/>
    <col min="2" max="2" width="8.140625" style="0" customWidth="1"/>
    <col min="3" max="3" width="10.00390625" style="0" hidden="1" customWidth="1"/>
    <col min="4" max="6" width="10.00390625" style="0" customWidth="1"/>
    <col min="7" max="7" width="11.7109375" style="0" customWidth="1"/>
    <col min="8" max="9" width="8.140625" style="0" bestFit="1" customWidth="1"/>
    <col min="11" max="11" width="10.7109375" style="0" bestFit="1" customWidth="1"/>
    <col min="12" max="12" width="8.00390625" style="0" bestFit="1" customWidth="1"/>
    <col min="13" max="13" width="7.421875" style="24" bestFit="1" customWidth="1"/>
    <col min="14" max="14" width="10.7109375" style="0" customWidth="1"/>
  </cols>
  <sheetData>
    <row r="1" spans="1:13" ht="12.75">
      <c r="A1" t="s">
        <v>0</v>
      </c>
      <c r="B1" s="21"/>
      <c r="M1" s="17"/>
    </row>
    <row r="2" spans="1:13" ht="12.75">
      <c r="A2" t="s">
        <v>244</v>
      </c>
      <c r="C2" s="88"/>
      <c r="D2" s="88"/>
      <c r="E2" s="88"/>
      <c r="F2" s="88"/>
      <c r="G2" s="88">
        <v>6</v>
      </c>
      <c r="H2" s="89"/>
      <c r="I2" s="87"/>
      <c r="J2" s="87"/>
      <c r="K2" s="87"/>
      <c r="L2" s="87"/>
      <c r="M2" s="17"/>
    </row>
    <row r="3" spans="1:13" ht="12.75">
      <c r="A3" s="1" t="s">
        <v>238</v>
      </c>
      <c r="C3" s="89"/>
      <c r="D3" s="89"/>
      <c r="E3" s="89"/>
      <c r="F3" s="89"/>
      <c r="G3" s="89" t="s">
        <v>2</v>
      </c>
      <c r="H3" s="89"/>
      <c r="I3" s="90"/>
      <c r="J3" s="91" t="s">
        <v>3</v>
      </c>
      <c r="K3" s="91" t="s">
        <v>4</v>
      </c>
      <c r="L3" s="91" t="s">
        <v>5</v>
      </c>
      <c r="M3" s="26" t="s">
        <v>84</v>
      </c>
    </row>
    <row r="4" spans="3:13" ht="12.75">
      <c r="C4" s="90" t="s">
        <v>6</v>
      </c>
      <c r="D4" s="90" t="s">
        <v>6</v>
      </c>
      <c r="E4" s="90" t="s">
        <v>6</v>
      </c>
      <c r="F4" s="90" t="s">
        <v>6</v>
      </c>
      <c r="G4" s="90" t="s">
        <v>6</v>
      </c>
      <c r="H4" s="90" t="s">
        <v>105</v>
      </c>
      <c r="I4" s="90" t="s">
        <v>8</v>
      </c>
      <c r="J4" s="91" t="s">
        <v>9</v>
      </c>
      <c r="K4" s="91" t="s">
        <v>10</v>
      </c>
      <c r="L4" s="91" t="s">
        <v>11</v>
      </c>
      <c r="M4" s="26" t="s">
        <v>85</v>
      </c>
    </row>
    <row r="5" spans="1:14" ht="13.5" thickBot="1">
      <c r="A5" t="s">
        <v>12</v>
      </c>
      <c r="C5" s="6">
        <v>2004</v>
      </c>
      <c r="D5" s="6">
        <v>2005</v>
      </c>
      <c r="E5" s="6">
        <v>2006</v>
      </c>
      <c r="F5" s="6">
        <v>2007</v>
      </c>
      <c r="G5" s="145">
        <v>2008</v>
      </c>
      <c r="H5" s="145">
        <v>2008</v>
      </c>
      <c r="I5" s="145">
        <v>2008</v>
      </c>
      <c r="J5" s="145">
        <v>2009</v>
      </c>
      <c r="K5" s="145">
        <v>2009</v>
      </c>
      <c r="L5" s="145">
        <v>2009</v>
      </c>
      <c r="M5" s="19" t="s">
        <v>406</v>
      </c>
      <c r="N5" s="7" t="s">
        <v>13</v>
      </c>
    </row>
    <row r="6" spans="2:13" ht="12.75">
      <c r="B6" s="9"/>
      <c r="C6" s="9"/>
      <c r="D6" s="9"/>
      <c r="E6" s="9"/>
      <c r="F6" s="9"/>
      <c r="G6" s="10"/>
      <c r="H6" s="10"/>
      <c r="J6" s="10"/>
      <c r="K6" s="10"/>
      <c r="L6" s="10"/>
      <c r="M6" s="62"/>
    </row>
    <row r="7" spans="1:13" ht="12.75">
      <c r="A7" s="1" t="s">
        <v>31</v>
      </c>
      <c r="B7" s="9"/>
      <c r="C7" s="9"/>
      <c r="D7" s="9"/>
      <c r="E7" s="9"/>
      <c r="F7" s="9"/>
      <c r="G7" s="10"/>
      <c r="H7" s="10"/>
      <c r="J7" s="10"/>
      <c r="K7" s="10"/>
      <c r="L7" s="10"/>
      <c r="M7" s="96"/>
    </row>
    <row r="8" spans="1:13" ht="12.75">
      <c r="A8" s="174" t="s">
        <v>358</v>
      </c>
      <c r="B8" s="9"/>
      <c r="C8" s="9"/>
      <c r="D8" s="9"/>
      <c r="E8" s="169">
        <f>274+54</f>
        <v>328</v>
      </c>
      <c r="F8" s="169">
        <v>903</v>
      </c>
      <c r="G8" s="10"/>
      <c r="H8" s="10">
        <v>400</v>
      </c>
      <c r="I8">
        <v>400</v>
      </c>
      <c r="J8" s="10">
        <v>400</v>
      </c>
      <c r="K8" s="10">
        <v>400</v>
      </c>
      <c r="L8" s="10">
        <v>400</v>
      </c>
      <c r="M8" s="96"/>
    </row>
    <row r="9" spans="1:13" ht="12.75">
      <c r="A9" s="11" t="s">
        <v>245</v>
      </c>
      <c r="B9" s="9">
        <v>38.11</v>
      </c>
      <c r="C9" s="92">
        <v>5500</v>
      </c>
      <c r="D9" s="92">
        <v>6000</v>
      </c>
      <c r="E9" s="92">
        <v>6000</v>
      </c>
      <c r="F9" s="92">
        <v>6000</v>
      </c>
      <c r="G9" s="92">
        <v>3000</v>
      </c>
      <c r="H9" s="92">
        <v>6000</v>
      </c>
      <c r="I9" s="93">
        <v>6000</v>
      </c>
      <c r="J9" s="92">
        <v>6000</v>
      </c>
      <c r="K9" s="93">
        <v>6000</v>
      </c>
      <c r="L9" s="93">
        <v>6000</v>
      </c>
      <c r="M9" s="96">
        <f>(L9-I9)/I9</f>
        <v>0</v>
      </c>
    </row>
    <row r="10" spans="1:13" ht="12.75">
      <c r="A10" s="94" t="s">
        <v>19</v>
      </c>
      <c r="B10" s="9"/>
      <c r="C10" s="10">
        <f>SUM(C9:C9)</f>
        <v>5500</v>
      </c>
      <c r="D10" s="10">
        <v>6000</v>
      </c>
      <c r="E10" s="10">
        <v>6332</v>
      </c>
      <c r="F10" s="10">
        <f aca="true" t="shared" si="0" ref="F10:L10">SUM(F8:F9)</f>
        <v>6903</v>
      </c>
      <c r="G10" s="10">
        <f t="shared" si="0"/>
        <v>3000</v>
      </c>
      <c r="H10" s="10">
        <f t="shared" si="0"/>
        <v>6400</v>
      </c>
      <c r="I10" s="10">
        <f t="shared" si="0"/>
        <v>6400</v>
      </c>
      <c r="J10" s="10">
        <f t="shared" si="0"/>
        <v>6400</v>
      </c>
      <c r="K10" s="10">
        <f t="shared" si="0"/>
        <v>6400</v>
      </c>
      <c r="L10" s="10">
        <f t="shared" si="0"/>
        <v>6400</v>
      </c>
      <c r="M10" s="96">
        <f>(L10-I10)/I10</f>
        <v>0</v>
      </c>
    </row>
    <row r="11" spans="2:13" ht="12.75">
      <c r="B11" s="9"/>
      <c r="C11" s="9"/>
      <c r="D11" s="9"/>
      <c r="E11" s="9"/>
      <c r="F11" s="9"/>
      <c r="G11" s="10"/>
      <c r="H11" s="10"/>
      <c r="I11" s="10"/>
      <c r="J11" s="10"/>
      <c r="K11" s="85"/>
      <c r="L11" s="10"/>
      <c r="M11" s="96"/>
    </row>
    <row r="12" spans="1:13" ht="12.75">
      <c r="A12" s="1" t="s">
        <v>97</v>
      </c>
      <c r="B12" s="9"/>
      <c r="C12" s="9"/>
      <c r="D12" s="9"/>
      <c r="E12" s="9"/>
      <c r="F12" s="9"/>
      <c r="G12" s="10"/>
      <c r="H12" s="10"/>
      <c r="I12" s="10"/>
      <c r="J12" s="10"/>
      <c r="K12" s="85"/>
      <c r="L12" s="10"/>
      <c r="M12" s="96"/>
    </row>
    <row r="13" spans="1:13" ht="12.75">
      <c r="A13" s="11"/>
      <c r="B13" s="9"/>
      <c r="C13" s="92"/>
      <c r="D13" s="92">
        <v>855</v>
      </c>
      <c r="E13" s="92">
        <v>529</v>
      </c>
      <c r="F13" s="92">
        <v>928</v>
      </c>
      <c r="G13" s="92">
        <v>576</v>
      </c>
      <c r="H13" s="92">
        <v>1000</v>
      </c>
      <c r="I13" s="92">
        <v>1000</v>
      </c>
      <c r="J13" s="92">
        <v>1000</v>
      </c>
      <c r="K13" s="93">
        <v>1000</v>
      </c>
      <c r="L13" s="93">
        <v>1000</v>
      </c>
      <c r="M13" s="96"/>
    </row>
    <row r="14" spans="1:13" ht="12.75">
      <c r="A14" s="94" t="s">
        <v>103</v>
      </c>
      <c r="B14" s="9"/>
      <c r="C14" s="10">
        <f>SUM(C13:C13)</f>
        <v>0</v>
      </c>
      <c r="D14" s="10">
        <v>855</v>
      </c>
      <c r="E14" s="10">
        <v>529</v>
      </c>
      <c r="F14" s="10">
        <f aca="true" t="shared" si="1" ref="F14:L14">SUM(F13:F13)</f>
        <v>928</v>
      </c>
      <c r="G14" s="10">
        <f t="shared" si="1"/>
        <v>576</v>
      </c>
      <c r="H14" s="10">
        <f t="shared" si="1"/>
        <v>1000</v>
      </c>
      <c r="I14" s="10">
        <f t="shared" si="1"/>
        <v>1000</v>
      </c>
      <c r="J14" s="10">
        <f t="shared" si="1"/>
        <v>1000</v>
      </c>
      <c r="K14" s="10">
        <f t="shared" si="1"/>
        <v>1000</v>
      </c>
      <c r="L14" s="10">
        <f t="shared" si="1"/>
        <v>1000</v>
      </c>
      <c r="M14" s="96">
        <f>(L14-I14)/I14</f>
        <v>0</v>
      </c>
    </row>
    <row r="15" spans="1:13" ht="12.75">
      <c r="A15" s="94"/>
      <c r="B15" s="9"/>
      <c r="C15" s="9"/>
      <c r="D15" s="9"/>
      <c r="E15" s="9"/>
      <c r="F15" s="9"/>
      <c r="G15" s="10"/>
      <c r="H15" s="10"/>
      <c r="I15" s="10"/>
      <c r="J15" s="10"/>
      <c r="K15" s="85"/>
      <c r="L15" s="10"/>
      <c r="M15" s="96"/>
    </row>
    <row r="16" spans="2:13" ht="12.75">
      <c r="B16" s="9"/>
      <c r="C16" s="9"/>
      <c r="D16" s="9"/>
      <c r="E16" s="9"/>
      <c r="F16" s="9"/>
      <c r="G16" s="10"/>
      <c r="H16" s="10"/>
      <c r="I16" s="10"/>
      <c r="J16" s="10"/>
      <c r="K16" s="85"/>
      <c r="L16" s="10"/>
      <c r="M16" s="96"/>
    </row>
    <row r="17" spans="1:17" s="52" customFormat="1" ht="11.25">
      <c r="A17" s="140" t="s">
        <v>273</v>
      </c>
      <c r="B17" s="71"/>
      <c r="C17" s="41">
        <f>C10-C14</f>
        <v>5500</v>
      </c>
      <c r="D17" s="41">
        <v>5145</v>
      </c>
      <c r="E17" s="41">
        <v>5803</v>
      </c>
      <c r="F17" s="41">
        <f aca="true" t="shared" si="2" ref="F17:L17">F10-F14</f>
        <v>5975</v>
      </c>
      <c r="G17" s="41">
        <f t="shared" si="2"/>
        <v>2424</v>
      </c>
      <c r="H17" s="41">
        <f t="shared" si="2"/>
        <v>5400</v>
      </c>
      <c r="I17" s="41">
        <f t="shared" si="2"/>
        <v>5400</v>
      </c>
      <c r="J17" s="41">
        <f t="shared" si="2"/>
        <v>5400</v>
      </c>
      <c r="K17" s="41">
        <f t="shared" si="2"/>
        <v>5400</v>
      </c>
      <c r="L17" s="41">
        <f t="shared" si="2"/>
        <v>5400</v>
      </c>
      <c r="M17" s="41"/>
      <c r="N17" s="41"/>
      <c r="O17" s="41"/>
      <c r="P17" s="41"/>
      <c r="Q17" s="41"/>
    </row>
    <row r="18" spans="1:17" s="52" customFormat="1" ht="11.25">
      <c r="A18" s="140"/>
      <c r="B18" s="7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52" customFormat="1" ht="11.25">
      <c r="A19" s="140"/>
      <c r="B19" s="7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0:13" ht="12.75">
      <c r="J20" s="86"/>
      <c r="K20" s="86"/>
      <c r="L20" s="86"/>
      <c r="M20" s="62"/>
    </row>
    <row r="21" spans="10:13" ht="12.75">
      <c r="J21" s="86"/>
      <c r="K21" s="86"/>
      <c r="L21" s="86"/>
      <c r="M21" s="62"/>
    </row>
    <row r="22" spans="1:13" ht="12.75">
      <c r="A22" s="69" t="s">
        <v>281</v>
      </c>
      <c r="D22" s="71">
        <v>5500</v>
      </c>
      <c r="E22" s="157"/>
      <c r="F22" s="148"/>
      <c r="I22" s="14"/>
      <c r="J22" s="14"/>
      <c r="K22" s="15"/>
      <c r="M22" s="62"/>
    </row>
    <row r="23" spans="1:13" ht="12.75">
      <c r="A23" s="69" t="s">
        <v>320</v>
      </c>
      <c r="D23" s="71">
        <v>10645</v>
      </c>
      <c r="E23" s="157">
        <v>5145</v>
      </c>
      <c r="F23" s="148">
        <v>0.9354545454545454</v>
      </c>
      <c r="I23" s="14"/>
      <c r="J23" s="14"/>
      <c r="K23" s="15"/>
      <c r="M23" s="62"/>
    </row>
    <row r="24" spans="1:13" ht="12.75">
      <c r="A24" s="69" t="s">
        <v>363</v>
      </c>
      <c r="D24" s="71">
        <v>16448</v>
      </c>
      <c r="E24" s="157">
        <v>5803</v>
      </c>
      <c r="F24" s="148">
        <v>0.5451385627054955</v>
      </c>
      <c r="M24" s="62"/>
    </row>
    <row r="25" spans="1:13" ht="12.75">
      <c r="A25" s="69" t="s">
        <v>429</v>
      </c>
      <c r="D25" s="71">
        <v>22423</v>
      </c>
      <c r="E25" s="157">
        <v>5975</v>
      </c>
      <c r="F25" s="148">
        <v>0.3632660505836576</v>
      </c>
      <c r="M25" s="62"/>
    </row>
    <row r="26" spans="1:13" ht="12.75">
      <c r="A26" s="69" t="s">
        <v>356</v>
      </c>
      <c r="D26" s="71">
        <f>D25+I17</f>
        <v>27823</v>
      </c>
      <c r="E26" s="157">
        <f>D26-D25</f>
        <v>5400</v>
      </c>
      <c r="F26" s="148">
        <f>E26/D25</f>
        <v>0.2408241537706819</v>
      </c>
      <c r="M26" s="62"/>
    </row>
    <row r="27" spans="1:13" ht="12.75">
      <c r="A27" s="69" t="s">
        <v>359</v>
      </c>
      <c r="D27" s="71">
        <f>D26+L17</f>
        <v>33223</v>
      </c>
      <c r="E27" s="157">
        <f>D27-D26</f>
        <v>5400</v>
      </c>
      <c r="F27" s="148">
        <f>E27/D26</f>
        <v>0.19408403119721093</v>
      </c>
      <c r="M27" s="62"/>
    </row>
    <row r="28" ht="12.75">
      <c r="M28" s="62"/>
    </row>
    <row r="29" ht="12.75">
      <c r="M29" s="62"/>
    </row>
    <row r="30" ht="12.75">
      <c r="M30" s="62"/>
    </row>
    <row r="31" ht="12.75">
      <c r="M31" s="62"/>
    </row>
    <row r="32" ht="12.75">
      <c r="M32" s="62"/>
    </row>
    <row r="33" ht="12.75">
      <c r="M33" s="62"/>
    </row>
    <row r="34" ht="12.75">
      <c r="M34" s="62"/>
    </row>
    <row r="35" ht="12.75">
      <c r="M35" s="62"/>
    </row>
    <row r="36" ht="12.75">
      <c r="M36" s="62"/>
    </row>
    <row r="37" ht="12.75">
      <c r="M37" s="62"/>
    </row>
    <row r="38" ht="12.75">
      <c r="M38" s="66"/>
    </row>
    <row r="39" ht="12.75">
      <c r="M39" s="62"/>
    </row>
    <row r="40" ht="12.75">
      <c r="M40" s="62"/>
    </row>
    <row r="41" ht="12.75">
      <c r="M41" s="62"/>
    </row>
    <row r="42" ht="12.75">
      <c r="M42" s="62"/>
    </row>
    <row r="43" ht="12.75">
      <c r="M43" s="62"/>
    </row>
    <row r="44" ht="12.75">
      <c r="M44" s="62"/>
    </row>
    <row r="45" ht="12.75">
      <c r="M45" s="65"/>
    </row>
    <row r="46" ht="12.75">
      <c r="M46" s="62"/>
    </row>
    <row r="47" ht="12.75">
      <c r="M47" s="62"/>
    </row>
    <row r="48" ht="12.75">
      <c r="M48" s="62"/>
    </row>
    <row r="49" ht="12.75">
      <c r="M49" s="62"/>
    </row>
    <row r="50" ht="12.75">
      <c r="M50" s="62"/>
    </row>
    <row r="51" ht="12.75">
      <c r="M51" s="65"/>
    </row>
    <row r="52" ht="12.75">
      <c r="M52" s="62"/>
    </row>
    <row r="53" ht="12.75">
      <c r="M53" s="62"/>
    </row>
    <row r="54" ht="12.75">
      <c r="M54" s="62"/>
    </row>
    <row r="55" ht="12.75">
      <c r="M55" s="62"/>
    </row>
    <row r="56" ht="12.75">
      <c r="M56" s="62"/>
    </row>
    <row r="57" ht="12.75">
      <c r="M57" s="62"/>
    </row>
    <row r="58" ht="12.75">
      <c r="M58" s="62"/>
    </row>
    <row r="59" ht="12.75">
      <c r="M59" s="62"/>
    </row>
    <row r="60" ht="12.75">
      <c r="M60" s="62"/>
    </row>
    <row r="61" ht="12.75">
      <c r="M61" s="62"/>
    </row>
    <row r="62" ht="12.75">
      <c r="M62" s="62"/>
    </row>
    <row r="63" ht="12.75">
      <c r="M63" s="62"/>
    </row>
    <row r="64" ht="12.75">
      <c r="M64" s="62"/>
    </row>
    <row r="65" ht="12.75">
      <c r="M65" s="62"/>
    </row>
    <row r="66" spans="7:13" ht="12.75">
      <c r="G66" s="10"/>
      <c r="H66" s="10"/>
      <c r="J66" s="10"/>
      <c r="K66" s="10"/>
      <c r="L66" s="10"/>
      <c r="M66" s="62"/>
    </row>
    <row r="67" spans="7:13" ht="12.75">
      <c r="G67" s="10"/>
      <c r="H67" s="10"/>
      <c r="J67" s="10"/>
      <c r="K67" s="10"/>
      <c r="L67" s="10"/>
      <c r="M67" s="62"/>
    </row>
    <row r="68" spans="7:13" ht="12.75">
      <c r="G68" s="10"/>
      <c r="H68" s="10"/>
      <c r="J68" s="10"/>
      <c r="K68" s="10"/>
      <c r="L68" s="10"/>
      <c r="M68" s="62"/>
    </row>
    <row r="69" spans="7:13" ht="12.75">
      <c r="G69" s="10"/>
      <c r="H69" s="10"/>
      <c r="J69" s="10"/>
      <c r="K69" s="10"/>
      <c r="L69" s="10"/>
      <c r="M69" s="62"/>
    </row>
    <row r="70" spans="7:13" ht="12.75">
      <c r="G70" s="10"/>
      <c r="H70" s="10"/>
      <c r="J70" s="10"/>
      <c r="K70" s="10"/>
      <c r="L70" s="10"/>
      <c r="M70" s="62"/>
    </row>
    <row r="71" spans="7:13" ht="12.75">
      <c r="G71" s="10"/>
      <c r="H71" s="10"/>
      <c r="J71" s="10"/>
      <c r="K71" s="10"/>
      <c r="L71" s="10"/>
      <c r="M71" s="65"/>
    </row>
    <row r="72" ht="12.75">
      <c r="M72" s="66"/>
    </row>
    <row r="73" ht="12.75">
      <c r="M73" s="66"/>
    </row>
    <row r="75" ht="12.75">
      <c r="M75" s="52"/>
    </row>
    <row r="76" ht="12.75">
      <c r="M76" s="52"/>
    </row>
    <row r="77" ht="12.75">
      <c r="M77" s="52"/>
    </row>
    <row r="78" ht="12.75">
      <c r="M78" s="52"/>
    </row>
    <row r="79" ht="12.75">
      <c r="M79" s="52"/>
    </row>
    <row r="80" ht="12.75">
      <c r="M80" s="52"/>
    </row>
    <row r="81" ht="12.75">
      <c r="M81" s="52"/>
    </row>
    <row r="82" ht="12.75">
      <c r="M82" s="52"/>
    </row>
    <row r="83" ht="12.75">
      <c r="M83" s="58"/>
    </row>
    <row r="84" ht="12.75">
      <c r="M84" s="58"/>
    </row>
    <row r="85" ht="12.75">
      <c r="M85" s="58"/>
    </row>
    <row r="86" ht="12.75">
      <c r="M86" s="58"/>
    </row>
    <row r="87" ht="12.75">
      <c r="M87" s="58"/>
    </row>
    <row r="88" ht="12.75">
      <c r="M88" s="58"/>
    </row>
    <row r="89" ht="12.75">
      <c r="M89" s="58"/>
    </row>
    <row r="90" ht="12.75">
      <c r="M90" s="58"/>
    </row>
    <row r="91" ht="12.75">
      <c r="M91" s="58"/>
    </row>
    <row r="92" ht="12.75">
      <c r="M92" s="58"/>
    </row>
    <row r="93" ht="12.75">
      <c r="M93" s="58"/>
    </row>
    <row r="94" ht="12.75">
      <c r="M94" s="58"/>
    </row>
    <row r="95" ht="12.75">
      <c r="M95" s="58"/>
    </row>
    <row r="96" ht="12.75">
      <c r="M96" s="58"/>
    </row>
    <row r="97" ht="12.75">
      <c r="M97" s="58"/>
    </row>
    <row r="98" ht="12.75">
      <c r="M98" s="58"/>
    </row>
    <row r="99" ht="12.75">
      <c r="M99" s="58"/>
    </row>
    <row r="100" ht="12.75">
      <c r="M100" s="58"/>
    </row>
    <row r="101" ht="12.75">
      <c r="M101" s="17"/>
    </row>
    <row r="102" ht="12.75">
      <c r="M102" s="17"/>
    </row>
    <row r="103" ht="12.75">
      <c r="M103" s="17"/>
    </row>
    <row r="104" ht="12.75">
      <c r="M104" s="17"/>
    </row>
    <row r="105" ht="12.75">
      <c r="M105" s="17"/>
    </row>
    <row r="106" ht="12.75">
      <c r="M106" s="17"/>
    </row>
    <row r="107" ht="12.75">
      <c r="M107" s="17"/>
    </row>
    <row r="108" ht="12.75">
      <c r="M108" s="17"/>
    </row>
    <row r="109" ht="12.75">
      <c r="M109" s="17"/>
    </row>
    <row r="110" ht="12.75">
      <c r="M110" s="45"/>
    </row>
    <row r="111" ht="12.75">
      <c r="M111" s="45"/>
    </row>
    <row r="112" ht="12.75">
      <c r="M112" s="45"/>
    </row>
    <row r="113" ht="12.75">
      <c r="M113" s="45"/>
    </row>
    <row r="114" ht="12.75">
      <c r="M114" s="45"/>
    </row>
    <row r="115" ht="12.75">
      <c r="M115" s="45"/>
    </row>
    <row r="116" ht="12.75">
      <c r="M116" s="45"/>
    </row>
    <row r="117" ht="12.75">
      <c r="M117" s="45"/>
    </row>
    <row r="118" ht="12.75">
      <c r="M118" s="45"/>
    </row>
    <row r="119" ht="12.75">
      <c r="M119" s="45"/>
    </row>
    <row r="120" ht="12.75">
      <c r="M120" s="45"/>
    </row>
    <row r="121" ht="12.75">
      <c r="M121" s="45"/>
    </row>
    <row r="122" ht="12.75">
      <c r="M122" s="45"/>
    </row>
    <row r="123" ht="12.75">
      <c r="M123" s="45"/>
    </row>
    <row r="124" ht="12.75">
      <c r="M124" s="17"/>
    </row>
    <row r="125" ht="12.75">
      <c r="M125" s="17"/>
    </row>
    <row r="126" ht="12.75">
      <c r="M126" s="17"/>
    </row>
    <row r="127" ht="12.75">
      <c r="M127" s="17"/>
    </row>
    <row r="128" ht="12.75">
      <c r="M128" s="17"/>
    </row>
    <row r="129" ht="12.75">
      <c r="M129" s="17"/>
    </row>
    <row r="130" ht="12.75">
      <c r="M130" s="17"/>
    </row>
    <row r="131" ht="12.75">
      <c r="M131" s="17"/>
    </row>
    <row r="132" ht="12.75">
      <c r="M132" s="17"/>
    </row>
    <row r="133" ht="12.75">
      <c r="M133" s="17"/>
    </row>
    <row r="134" ht="12.75">
      <c r="M134" s="17"/>
    </row>
    <row r="135" ht="12.75">
      <c r="M135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3" r:id="rId1"/>
  <headerFooter alignWithMargins="0">
    <oddHeader>&amp;CFY09 Special Revenue Funds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workbookViewId="0" topLeftCell="A2">
      <pane ySplit="1125" topLeftCell="BM86" activePane="bottomLeft" state="split"/>
      <selection pane="topLeft" activeCell="F38" sqref="F38"/>
      <selection pane="bottomLeft" activeCell="G119" sqref="G119"/>
    </sheetView>
  </sheetViews>
  <sheetFormatPr defaultColWidth="9.140625" defaultRowHeight="12.75"/>
  <cols>
    <col min="1" max="1" width="28.7109375" style="99" customWidth="1"/>
    <col min="2" max="2" width="6.57421875" style="100" bestFit="1" customWidth="1"/>
    <col min="3" max="3" width="7.7109375" style="99" hidden="1" customWidth="1"/>
    <col min="4" max="6" width="8.57421875" style="99" hidden="1" customWidth="1"/>
    <col min="7" max="7" width="8.57421875" style="99" bestFit="1" customWidth="1"/>
    <col min="8" max="8" width="9.140625" style="99" bestFit="1" customWidth="1"/>
    <col min="9" max="9" width="7.7109375" style="99" customWidth="1"/>
    <col min="10" max="11" width="9.421875" style="99" customWidth="1"/>
    <col min="12" max="12" width="8.28125" style="99" bestFit="1" customWidth="1"/>
    <col min="13" max="13" width="9.421875" style="99" customWidth="1"/>
    <col min="14" max="14" width="10.00390625" style="99" customWidth="1"/>
    <col min="15" max="15" width="9.421875" style="99" customWidth="1"/>
    <col min="16" max="16" width="6.7109375" style="127" bestFit="1" customWidth="1"/>
    <col min="17" max="18" width="8.00390625" style="99" customWidth="1"/>
    <col min="19" max="19" width="8.00390625" style="104" customWidth="1"/>
    <col min="20" max="16384" width="8.00390625" style="99" customWidth="1"/>
  </cols>
  <sheetData>
    <row r="1" spans="1:19" s="13" customFormat="1" ht="11.25">
      <c r="A1" s="13" t="s">
        <v>0</v>
      </c>
      <c r="B1" s="21"/>
      <c r="D1" s="99"/>
      <c r="E1" s="99"/>
      <c r="F1" s="99"/>
      <c r="G1" s="99"/>
      <c r="H1" s="99"/>
      <c r="I1" s="99"/>
      <c r="J1" s="18"/>
      <c r="P1" s="127"/>
      <c r="S1" s="104"/>
    </row>
    <row r="2" spans="1:19" s="13" customFormat="1" ht="11.25">
      <c r="A2" s="117" t="s">
        <v>147</v>
      </c>
      <c r="C2" s="118"/>
      <c r="D2" s="118"/>
      <c r="E2" s="118"/>
      <c r="F2" s="118"/>
      <c r="G2" s="118"/>
      <c r="H2" s="118"/>
      <c r="I2" s="118"/>
      <c r="J2" s="119">
        <v>7</v>
      </c>
      <c r="K2" s="121"/>
      <c r="L2" s="118"/>
      <c r="M2" s="118"/>
      <c r="N2" s="118"/>
      <c r="O2" s="118"/>
      <c r="P2" s="127"/>
      <c r="S2" s="104"/>
    </row>
    <row r="3" spans="1:17" ht="11.25">
      <c r="A3" s="101"/>
      <c r="C3" s="101"/>
      <c r="D3" s="101"/>
      <c r="E3" s="102"/>
      <c r="F3" s="101"/>
      <c r="G3" s="101"/>
      <c r="H3" s="101"/>
      <c r="I3" s="101"/>
      <c r="J3" s="102" t="s">
        <v>2</v>
      </c>
      <c r="K3" s="121"/>
      <c r="L3" s="121"/>
      <c r="M3" s="121" t="s">
        <v>384</v>
      </c>
      <c r="N3" s="121" t="s">
        <v>371</v>
      </c>
      <c r="O3" s="121" t="s">
        <v>373</v>
      </c>
      <c r="P3" s="170" t="s">
        <v>84</v>
      </c>
      <c r="Q3" s="13"/>
    </row>
    <row r="4" spans="1:17" ht="11.25">
      <c r="A4" s="101"/>
      <c r="B4" s="116"/>
      <c r="C4" s="102" t="s">
        <v>6</v>
      </c>
      <c r="D4" s="102" t="s">
        <v>6</v>
      </c>
      <c r="E4" s="102" t="s">
        <v>6</v>
      </c>
      <c r="F4" s="102" t="s">
        <v>6</v>
      </c>
      <c r="G4" s="102" t="s">
        <v>6</v>
      </c>
      <c r="H4" s="102" t="s">
        <v>6</v>
      </c>
      <c r="I4" s="102" t="s">
        <v>6</v>
      </c>
      <c r="J4" s="102" t="s">
        <v>6</v>
      </c>
      <c r="K4" s="121" t="s">
        <v>105</v>
      </c>
      <c r="L4" s="121" t="s">
        <v>8</v>
      </c>
      <c r="M4" s="121" t="s">
        <v>370</v>
      </c>
      <c r="N4" s="121" t="s">
        <v>372</v>
      </c>
      <c r="O4" s="121" t="s">
        <v>385</v>
      </c>
      <c r="P4" s="170" t="s">
        <v>85</v>
      </c>
      <c r="Q4" s="13"/>
    </row>
    <row r="5" spans="1:17" ht="12" thickBot="1">
      <c r="A5" s="101"/>
      <c r="B5" s="116"/>
      <c r="C5" s="120">
        <v>2001</v>
      </c>
      <c r="D5" s="120">
        <v>2002</v>
      </c>
      <c r="E5" s="120">
        <v>2003</v>
      </c>
      <c r="F5" s="120">
        <v>2004</v>
      </c>
      <c r="G5" s="120">
        <v>2005</v>
      </c>
      <c r="H5" s="120">
        <v>2006</v>
      </c>
      <c r="I5" s="120">
        <v>2007</v>
      </c>
      <c r="J5" s="145">
        <v>2008</v>
      </c>
      <c r="K5" s="145">
        <v>2008</v>
      </c>
      <c r="L5" s="145">
        <v>2008</v>
      </c>
      <c r="M5" s="145">
        <v>2009</v>
      </c>
      <c r="N5" s="145">
        <v>2009</v>
      </c>
      <c r="O5" s="145">
        <v>2009</v>
      </c>
      <c r="P5" s="19" t="s">
        <v>406</v>
      </c>
      <c r="Q5" s="19" t="s">
        <v>13</v>
      </c>
    </row>
    <row r="6" spans="1:12" ht="13.5" customHeight="1">
      <c r="A6" s="103" t="s">
        <v>33</v>
      </c>
      <c r="K6" s="155"/>
      <c r="L6" s="155"/>
    </row>
    <row r="7" spans="1:17" ht="11.25">
      <c r="A7" s="99" t="s">
        <v>106</v>
      </c>
      <c r="B7" s="100">
        <v>34.193</v>
      </c>
      <c r="C7" s="104">
        <v>605</v>
      </c>
      <c r="D7" s="104">
        <v>419</v>
      </c>
      <c r="E7" s="104">
        <v>315</v>
      </c>
      <c r="F7" s="104">
        <v>168</v>
      </c>
      <c r="G7" s="104">
        <v>12</v>
      </c>
      <c r="H7" s="104"/>
      <c r="I7" s="104"/>
      <c r="J7" s="104"/>
      <c r="L7" s="156"/>
      <c r="M7" s="104"/>
      <c r="N7" s="104"/>
      <c r="O7" s="104"/>
      <c r="Q7" s="99" t="s">
        <v>313</v>
      </c>
    </row>
    <row r="8" spans="1:16" ht="11.25">
      <c r="A8" s="99" t="s">
        <v>265</v>
      </c>
      <c r="B8" s="100">
        <v>34.2501</v>
      </c>
      <c r="C8" s="104">
        <v>7976</v>
      </c>
      <c r="D8" s="104">
        <v>6651</v>
      </c>
      <c r="E8" s="104">
        <v>7812</v>
      </c>
      <c r="F8" s="104">
        <v>8666</v>
      </c>
      <c r="G8" s="104">
        <v>3733</v>
      </c>
      <c r="H8" s="104">
        <v>11918.66</v>
      </c>
      <c r="I8" s="104">
        <v>14017</v>
      </c>
      <c r="J8" s="104">
        <v>8116</v>
      </c>
      <c r="K8" s="104">
        <v>11500</v>
      </c>
      <c r="L8" s="104">
        <v>11500</v>
      </c>
      <c r="M8" s="104"/>
      <c r="N8" s="104"/>
      <c r="O8" s="104"/>
      <c r="P8" s="127">
        <f aca="true" t="shared" si="0" ref="P8:P15">(O8-L8)/L8</f>
        <v>-1</v>
      </c>
    </row>
    <row r="9" spans="1:17" ht="12.75">
      <c r="A9" s="99" t="s">
        <v>266</v>
      </c>
      <c r="B9" s="100">
        <v>34.25</v>
      </c>
      <c r="C9" s="104"/>
      <c r="D9" s="104"/>
      <c r="E9" s="104"/>
      <c r="F9" s="104"/>
      <c r="G9" s="104">
        <v>2196</v>
      </c>
      <c r="H9" s="104"/>
      <c r="I9" s="104"/>
      <c r="J9" s="104"/>
      <c r="K9" s="104">
        <f aca="true" t="shared" si="1" ref="K9:K18">J9/J$2*12</f>
        <v>0</v>
      </c>
      <c r="L9" s="104"/>
      <c r="M9" s="104"/>
      <c r="N9" s="104"/>
      <c r="O9" s="104"/>
      <c r="Q9" s="1"/>
    </row>
    <row r="10" spans="1:17" ht="12.75">
      <c r="A10" s="99" t="s">
        <v>266</v>
      </c>
      <c r="B10" s="100">
        <v>34.2502</v>
      </c>
      <c r="C10" s="104">
        <v>23977</v>
      </c>
      <c r="D10" s="104">
        <v>11913</v>
      </c>
      <c r="E10" s="104">
        <v>21231</v>
      </c>
      <c r="F10" s="104">
        <v>23263</v>
      </c>
      <c r="G10" s="104">
        <v>24668</v>
      </c>
      <c r="H10" s="104">
        <v>23568.33</v>
      </c>
      <c r="I10" s="104">
        <v>22756</v>
      </c>
      <c r="J10" s="104">
        <v>14310</v>
      </c>
      <c r="K10" s="104">
        <v>24500</v>
      </c>
      <c r="L10" s="104">
        <v>22000</v>
      </c>
      <c r="M10" s="104">
        <v>24500</v>
      </c>
      <c r="N10" s="104">
        <v>24500</v>
      </c>
      <c r="O10" s="104">
        <v>24500</v>
      </c>
      <c r="P10" s="127">
        <f t="shared" si="0"/>
        <v>0.11363636363636363</v>
      </c>
      <c r="Q10"/>
    </row>
    <row r="11" spans="1:17" ht="12.75">
      <c r="A11" s="99" t="s">
        <v>267</v>
      </c>
      <c r="B11" s="100">
        <v>34.2503</v>
      </c>
      <c r="C11" s="104">
        <v>116797</v>
      </c>
      <c r="D11" s="104">
        <v>157532</v>
      </c>
      <c r="E11" s="104">
        <v>128956</v>
      </c>
      <c r="F11" s="104">
        <v>150669</v>
      </c>
      <c r="G11" s="104">
        <v>112210</v>
      </c>
      <c r="H11" s="104">
        <v>181146</v>
      </c>
      <c r="I11" s="104">
        <v>140857</v>
      </c>
      <c r="J11" s="104">
        <v>69419</v>
      </c>
      <c r="K11" s="104">
        <v>140000</v>
      </c>
      <c r="L11" s="104">
        <v>126000</v>
      </c>
      <c r="M11" s="104">
        <v>140000</v>
      </c>
      <c r="N11" s="104">
        <v>140000</v>
      </c>
      <c r="O11" s="104">
        <v>140000</v>
      </c>
      <c r="P11" s="127">
        <f t="shared" si="0"/>
        <v>0.1111111111111111</v>
      </c>
      <c r="Q11"/>
    </row>
    <row r="12" spans="1:17" ht="12.75">
      <c r="A12" s="99" t="s">
        <v>266</v>
      </c>
      <c r="B12" s="100">
        <v>34.2504</v>
      </c>
      <c r="C12" s="104"/>
      <c r="D12" s="104"/>
      <c r="E12" s="104"/>
      <c r="F12" s="104"/>
      <c r="G12" s="104">
        <v>51</v>
      </c>
      <c r="H12" s="104"/>
      <c r="I12" s="104"/>
      <c r="J12" s="104"/>
      <c r="K12" s="104">
        <f t="shared" si="1"/>
        <v>0</v>
      </c>
      <c r="L12" s="104"/>
      <c r="M12" s="104"/>
      <c r="N12" s="104"/>
      <c r="O12" s="104"/>
      <c r="Q12"/>
    </row>
    <row r="13" spans="1:17" ht="12.75">
      <c r="A13" s="99" t="s">
        <v>107</v>
      </c>
      <c r="B13" s="100">
        <v>34.2505</v>
      </c>
      <c r="C13" s="104">
        <v>6689</v>
      </c>
      <c r="D13" s="104">
        <v>9336</v>
      </c>
      <c r="E13" s="104">
        <v>6440</v>
      </c>
      <c r="F13" s="104">
        <v>6174</v>
      </c>
      <c r="G13" s="104">
        <v>9735</v>
      </c>
      <c r="H13" s="104">
        <v>7</v>
      </c>
      <c r="I13" s="104"/>
      <c r="J13" s="104"/>
      <c r="K13" s="104">
        <f t="shared" si="1"/>
        <v>0</v>
      </c>
      <c r="L13" s="104"/>
      <c r="M13" s="104"/>
      <c r="N13" s="104"/>
      <c r="O13" s="104"/>
      <c r="P13" s="127" t="e">
        <f t="shared" si="0"/>
        <v>#DIV/0!</v>
      </c>
      <c r="Q13"/>
    </row>
    <row r="14" spans="1:17" ht="12.75">
      <c r="A14" s="99" t="s">
        <v>108</v>
      </c>
      <c r="B14" s="100">
        <v>34.2506</v>
      </c>
      <c r="C14" s="104">
        <v>101</v>
      </c>
      <c r="D14" s="104">
        <v>237</v>
      </c>
      <c r="E14" s="104">
        <v>97</v>
      </c>
      <c r="F14" s="104">
        <v>108</v>
      </c>
      <c r="G14" s="104">
        <f>86+7</f>
        <v>93</v>
      </c>
      <c r="H14" s="104">
        <v>201.91</v>
      </c>
      <c r="I14" s="104">
        <v>226</v>
      </c>
      <c r="J14" s="104">
        <v>48</v>
      </c>
      <c r="K14" s="104">
        <f t="shared" si="1"/>
        <v>82.28571428571428</v>
      </c>
      <c r="L14" s="104"/>
      <c r="M14" s="104"/>
      <c r="N14" s="104"/>
      <c r="O14" s="104"/>
      <c r="P14" s="127" t="e">
        <f t="shared" si="0"/>
        <v>#DIV/0!</v>
      </c>
      <c r="Q14"/>
    </row>
    <row r="15" spans="1:17" ht="12.75">
      <c r="A15" s="99" t="s">
        <v>109</v>
      </c>
      <c r="B15" s="100">
        <v>34.2507</v>
      </c>
      <c r="C15" s="104">
        <v>34165</v>
      </c>
      <c r="D15" s="104">
        <v>45068</v>
      </c>
      <c r="E15" s="104">
        <v>9</v>
      </c>
      <c r="F15" s="104">
        <v>35705</v>
      </c>
      <c r="G15" s="104">
        <v>457</v>
      </c>
      <c r="H15" s="104"/>
      <c r="I15" s="104"/>
      <c r="J15" s="104"/>
      <c r="K15" s="104">
        <f t="shared" si="1"/>
        <v>0</v>
      </c>
      <c r="L15" s="104"/>
      <c r="M15" s="104"/>
      <c r="N15" s="104"/>
      <c r="O15" s="104"/>
      <c r="P15" s="127" t="e">
        <f t="shared" si="0"/>
        <v>#DIV/0!</v>
      </c>
      <c r="Q15"/>
    </row>
    <row r="16" spans="1:17" ht="12.75">
      <c r="A16" s="99" t="s">
        <v>110</v>
      </c>
      <c r="B16" s="100">
        <v>34.2508</v>
      </c>
      <c r="C16" s="104"/>
      <c r="D16" s="104">
        <v>11923</v>
      </c>
      <c r="E16" s="104">
        <v>4778</v>
      </c>
      <c r="F16" s="104">
        <v>4656</v>
      </c>
      <c r="G16" s="104"/>
      <c r="H16" s="104">
        <v>2090</v>
      </c>
      <c r="I16" s="104">
        <v>2088</v>
      </c>
      <c r="J16" s="104"/>
      <c r="K16" s="104">
        <f t="shared" si="1"/>
        <v>0</v>
      </c>
      <c r="L16" s="104"/>
      <c r="M16" s="104"/>
      <c r="N16" s="104"/>
      <c r="O16" s="104"/>
      <c r="Q16"/>
    </row>
    <row r="17" spans="1:17" ht="12.75">
      <c r="A17" s="99" t="s">
        <v>111</v>
      </c>
      <c r="B17" s="100">
        <v>34.2509</v>
      </c>
      <c r="C17" s="104">
        <v>2365</v>
      </c>
      <c r="D17" s="104">
        <v>4793</v>
      </c>
      <c r="E17" s="104">
        <v>33934</v>
      </c>
      <c r="F17" s="104">
        <v>34823</v>
      </c>
      <c r="G17" s="104">
        <v>18247</v>
      </c>
      <c r="H17" s="104"/>
      <c r="I17" s="104"/>
      <c r="J17" s="104"/>
      <c r="K17" s="104">
        <f t="shared" si="1"/>
        <v>0</v>
      </c>
      <c r="L17" s="104"/>
      <c r="M17" s="104"/>
      <c r="N17" s="104"/>
      <c r="O17" s="104"/>
      <c r="Q17"/>
    </row>
    <row r="18" spans="1:17" ht="12.75">
      <c r="A18" s="99" t="s">
        <v>112</v>
      </c>
      <c r="B18" s="100">
        <v>34.251</v>
      </c>
      <c r="C18" s="104">
        <v>520</v>
      </c>
      <c r="D18" s="104">
        <v>596</v>
      </c>
      <c r="E18" s="104">
        <v>313</v>
      </c>
      <c r="F18" s="104"/>
      <c r="G18" s="104">
        <v>20</v>
      </c>
      <c r="H18" s="104">
        <v>621</v>
      </c>
      <c r="I18" s="104"/>
      <c r="J18" s="104"/>
      <c r="K18" s="104">
        <f t="shared" si="1"/>
        <v>0</v>
      </c>
      <c r="L18" s="104"/>
      <c r="M18" s="104"/>
      <c r="N18" s="104"/>
      <c r="O18" s="104"/>
      <c r="Q18" s="9"/>
    </row>
    <row r="19" spans="1:17" ht="12.75">
      <c r="A19" s="99" t="s">
        <v>113</v>
      </c>
      <c r="B19" s="100">
        <v>34.2511</v>
      </c>
      <c r="C19" s="104">
        <v>198</v>
      </c>
      <c r="D19" s="104">
        <v>2186</v>
      </c>
      <c r="E19" s="104">
        <v>1263</v>
      </c>
      <c r="F19" s="104">
        <v>841</v>
      </c>
      <c r="G19" s="104">
        <v>677</v>
      </c>
      <c r="H19" s="104">
        <v>1000.98</v>
      </c>
      <c r="I19" s="104">
        <v>482</v>
      </c>
      <c r="J19" s="104">
        <v>139</v>
      </c>
      <c r="K19" s="104">
        <v>500</v>
      </c>
      <c r="L19" s="104">
        <v>1000</v>
      </c>
      <c r="M19" s="104"/>
      <c r="N19" s="104"/>
      <c r="O19" s="104"/>
      <c r="P19" s="127">
        <f>(O19-L19)/L19</f>
        <v>-1</v>
      </c>
      <c r="Q19"/>
    </row>
    <row r="20" spans="1:17" ht="12.75">
      <c r="A20" s="99" t="s">
        <v>114</v>
      </c>
      <c r="B20" s="100">
        <v>34.2512</v>
      </c>
      <c r="C20" s="104">
        <v>4056</v>
      </c>
      <c r="D20" s="104">
        <v>6357</v>
      </c>
      <c r="E20" s="104">
        <v>5819</v>
      </c>
      <c r="F20" s="104">
        <v>15287</v>
      </c>
      <c r="G20" s="104">
        <f>30066+3292</f>
        <v>33358</v>
      </c>
      <c r="H20" s="104">
        <v>48960.41</v>
      </c>
      <c r="I20" s="104">
        <v>49724</v>
      </c>
      <c r="J20" s="104">
        <v>26531</v>
      </c>
      <c r="K20" s="104">
        <f aca="true" t="shared" si="2" ref="K20:K49">J20/J$2*12</f>
        <v>45481.71428571429</v>
      </c>
      <c r="L20" s="104">
        <v>33000</v>
      </c>
      <c r="M20" s="104">
        <v>53000</v>
      </c>
      <c r="N20" s="104">
        <v>53000</v>
      </c>
      <c r="O20" s="104">
        <v>53000</v>
      </c>
      <c r="P20" s="127">
        <f>(O20-L20)/L20</f>
        <v>0.6060606060606061</v>
      </c>
      <c r="Q20"/>
    </row>
    <row r="21" spans="1:17" ht="12.75">
      <c r="A21" s="99" t="s">
        <v>115</v>
      </c>
      <c r="B21" s="100">
        <v>34.2514</v>
      </c>
      <c r="C21" s="104">
        <v>88</v>
      </c>
      <c r="D21" s="104">
        <v>17647</v>
      </c>
      <c r="E21" s="104">
        <v>728</v>
      </c>
      <c r="G21" s="99">
        <v>71</v>
      </c>
      <c r="J21" s="104"/>
      <c r="K21" s="104">
        <f t="shared" si="2"/>
        <v>0</v>
      </c>
      <c r="L21" s="104"/>
      <c r="M21" s="104"/>
      <c r="N21" s="104"/>
      <c r="O21" s="104"/>
      <c r="Q21"/>
    </row>
    <row r="22" spans="1:17" ht="12.75" hidden="1">
      <c r="A22" s="99" t="s">
        <v>116</v>
      </c>
      <c r="B22" s="100">
        <v>34.2515</v>
      </c>
      <c r="C22" s="104">
        <v>232</v>
      </c>
      <c r="D22" s="104"/>
      <c r="E22" s="104">
        <v>299</v>
      </c>
      <c r="F22" s="104">
        <v>823</v>
      </c>
      <c r="G22" s="104"/>
      <c r="H22" s="104"/>
      <c r="I22" s="104"/>
      <c r="J22" s="104"/>
      <c r="K22" s="104">
        <f t="shared" si="2"/>
        <v>0</v>
      </c>
      <c r="L22" s="104"/>
      <c r="M22" s="104"/>
      <c r="N22" s="104"/>
      <c r="O22" s="104"/>
      <c r="Q22"/>
    </row>
    <row r="23" spans="1:17" ht="12.75">
      <c r="A23" s="99" t="s">
        <v>117</v>
      </c>
      <c r="B23" s="100">
        <v>34.2516</v>
      </c>
      <c r="C23" s="104"/>
      <c r="D23" s="104">
        <v>151</v>
      </c>
      <c r="E23" s="104">
        <v>122</v>
      </c>
      <c r="F23" s="104">
        <v>90</v>
      </c>
      <c r="G23" s="104">
        <v>22</v>
      </c>
      <c r="H23" s="104"/>
      <c r="I23" s="104"/>
      <c r="J23" s="104"/>
      <c r="K23" s="104">
        <f t="shared" si="2"/>
        <v>0</v>
      </c>
      <c r="L23" s="104"/>
      <c r="M23" s="104"/>
      <c r="N23" s="104"/>
      <c r="O23" s="104"/>
      <c r="P23" s="127" t="e">
        <f>(O23-L23)/L23</f>
        <v>#DIV/0!</v>
      </c>
      <c r="Q23"/>
    </row>
    <row r="24" spans="1:17" ht="12.75">
      <c r="A24" s="99" t="s">
        <v>118</v>
      </c>
      <c r="B24" s="100">
        <v>34.2517</v>
      </c>
      <c r="C24" s="104"/>
      <c r="D24" s="104">
        <v>478</v>
      </c>
      <c r="E24" s="104">
        <v>475</v>
      </c>
      <c r="F24" s="104">
        <v>812</v>
      </c>
      <c r="G24" s="104">
        <v>1111</v>
      </c>
      <c r="H24" s="104">
        <v>1384.5</v>
      </c>
      <c r="I24" s="104">
        <v>1387</v>
      </c>
      <c r="J24" s="104">
        <v>387</v>
      </c>
      <c r="K24" s="104">
        <v>1000</v>
      </c>
      <c r="L24" s="104">
        <v>1300</v>
      </c>
      <c r="M24" s="104">
        <v>775</v>
      </c>
      <c r="N24" s="104">
        <v>775</v>
      </c>
      <c r="O24" s="104">
        <v>775</v>
      </c>
      <c r="P24" s="127">
        <f>(O24-L24)/L24</f>
        <v>-0.40384615384615385</v>
      </c>
      <c r="Q24"/>
    </row>
    <row r="25" spans="1:17" ht="12.75">
      <c r="A25" s="99" t="s">
        <v>119</v>
      </c>
      <c r="B25" s="100">
        <v>34.2518</v>
      </c>
      <c r="C25" s="104"/>
      <c r="D25" s="104">
        <v>3</v>
      </c>
      <c r="E25" s="104">
        <v>202</v>
      </c>
      <c r="F25" s="104">
        <v>2</v>
      </c>
      <c r="G25" s="104">
        <f>17+4</f>
        <v>21</v>
      </c>
      <c r="H25" s="104">
        <v>45</v>
      </c>
      <c r="I25" s="104"/>
      <c r="J25" s="104"/>
      <c r="K25" s="104">
        <f t="shared" si="2"/>
        <v>0</v>
      </c>
      <c r="L25" s="104"/>
      <c r="M25" s="104"/>
      <c r="N25" s="104"/>
      <c r="O25" s="104"/>
      <c r="Q25"/>
    </row>
    <row r="26" spans="1:17" ht="12.75" hidden="1">
      <c r="A26" s="99" t="s">
        <v>120</v>
      </c>
      <c r="B26" s="100">
        <v>34.2519</v>
      </c>
      <c r="C26" s="104"/>
      <c r="D26" s="104"/>
      <c r="E26" s="104">
        <v>2866</v>
      </c>
      <c r="F26" s="104">
        <v>447</v>
      </c>
      <c r="G26" s="104"/>
      <c r="H26" s="104"/>
      <c r="I26" s="104"/>
      <c r="J26" s="104"/>
      <c r="K26" s="104">
        <f t="shared" si="2"/>
        <v>0</v>
      </c>
      <c r="L26" s="104"/>
      <c r="M26" s="104"/>
      <c r="N26" s="104"/>
      <c r="O26" s="104"/>
      <c r="Q26"/>
    </row>
    <row r="27" spans="1:17" ht="12.75">
      <c r="A27" s="99" t="s">
        <v>121</v>
      </c>
      <c r="B27" s="100">
        <v>34.252</v>
      </c>
      <c r="C27" s="104"/>
      <c r="D27" s="104"/>
      <c r="E27" s="104">
        <v>113</v>
      </c>
      <c r="F27" s="104">
        <v>228</v>
      </c>
      <c r="G27" s="104">
        <f>312+29</f>
        <v>341</v>
      </c>
      <c r="H27" s="104">
        <v>308</v>
      </c>
      <c r="I27" s="104">
        <v>283</v>
      </c>
      <c r="J27" s="104">
        <v>169</v>
      </c>
      <c r="K27" s="104">
        <v>300</v>
      </c>
      <c r="L27" s="104">
        <v>300</v>
      </c>
      <c r="M27" s="104">
        <v>250</v>
      </c>
      <c r="N27" s="104">
        <v>250</v>
      </c>
      <c r="O27" s="104">
        <v>250</v>
      </c>
      <c r="Q27"/>
    </row>
    <row r="28" spans="1:15" ht="11.25">
      <c r="A28" s="99" t="s">
        <v>122</v>
      </c>
      <c r="B28" s="100">
        <v>34.2521</v>
      </c>
      <c r="C28" s="104"/>
      <c r="D28" s="104"/>
      <c r="E28" s="104">
        <v>224</v>
      </c>
      <c r="F28" s="104">
        <v>159</v>
      </c>
      <c r="G28" s="104">
        <f>191+13</f>
        <v>204</v>
      </c>
      <c r="H28" s="104">
        <v>81</v>
      </c>
      <c r="I28" s="104"/>
      <c r="J28" s="104"/>
      <c r="K28" s="104">
        <f t="shared" si="2"/>
        <v>0</v>
      </c>
      <c r="L28" s="104"/>
      <c r="M28" s="104"/>
      <c r="N28" s="104"/>
      <c r="O28" s="104"/>
    </row>
    <row r="29" spans="1:15" ht="11.25" hidden="1">
      <c r="A29" s="99" t="s">
        <v>123</v>
      </c>
      <c r="B29" s="100">
        <v>34.2522</v>
      </c>
      <c r="C29" s="104"/>
      <c r="D29" s="104"/>
      <c r="E29" s="104">
        <v>52</v>
      </c>
      <c r="F29" s="104">
        <v>68</v>
      </c>
      <c r="G29" s="104"/>
      <c r="H29" s="104"/>
      <c r="I29" s="104"/>
      <c r="J29" s="104"/>
      <c r="K29" s="104">
        <f t="shared" si="2"/>
        <v>0</v>
      </c>
      <c r="L29" s="104"/>
      <c r="M29" s="104"/>
      <c r="N29" s="104"/>
      <c r="O29" s="104"/>
    </row>
    <row r="30" spans="1:15" ht="11.25" hidden="1">
      <c r="A30" s="99" t="s">
        <v>151</v>
      </c>
      <c r="B30" s="100">
        <v>34.2523</v>
      </c>
      <c r="C30" s="104"/>
      <c r="D30" s="104"/>
      <c r="E30" s="104">
        <v>17666</v>
      </c>
      <c r="F30" s="104"/>
      <c r="G30" s="104"/>
      <c r="H30" s="104"/>
      <c r="I30" s="104"/>
      <c r="J30" s="104"/>
      <c r="K30" s="104">
        <f t="shared" si="2"/>
        <v>0</v>
      </c>
      <c r="L30" s="104"/>
      <c r="M30" s="104"/>
      <c r="N30" s="104"/>
      <c r="O30" s="104"/>
    </row>
    <row r="31" spans="1:15" ht="11.25">
      <c r="A31" s="99" t="s">
        <v>246</v>
      </c>
      <c r="B31" s="100">
        <v>34.2524</v>
      </c>
      <c r="C31" s="104"/>
      <c r="D31" s="104"/>
      <c r="E31" s="104">
        <v>145</v>
      </c>
      <c r="F31" s="104">
        <v>832</v>
      </c>
      <c r="G31" s="104">
        <v>937</v>
      </c>
      <c r="H31" s="104">
        <v>626</v>
      </c>
      <c r="I31" s="104">
        <v>1939</v>
      </c>
      <c r="J31" s="104">
        <v>755</v>
      </c>
      <c r="K31" s="104">
        <f t="shared" si="2"/>
        <v>1294.2857142857142</v>
      </c>
      <c r="L31" s="104">
        <v>700</v>
      </c>
      <c r="M31" s="104">
        <v>1500</v>
      </c>
      <c r="N31" s="104">
        <v>1500</v>
      </c>
      <c r="O31" s="104">
        <v>1500</v>
      </c>
    </row>
    <row r="32" spans="1:15" ht="11.25">
      <c r="A32" s="99" t="s">
        <v>247</v>
      </c>
      <c r="B32" s="100">
        <v>34.2525</v>
      </c>
      <c r="C32" s="104"/>
      <c r="D32" s="104"/>
      <c r="E32" s="104">
        <v>282</v>
      </c>
      <c r="F32" s="104">
        <v>443</v>
      </c>
      <c r="G32" s="104">
        <f>218+108</f>
        <v>326</v>
      </c>
      <c r="H32" s="104">
        <v>432</v>
      </c>
      <c r="I32" s="104"/>
      <c r="J32" s="104"/>
      <c r="K32" s="104">
        <f t="shared" si="2"/>
        <v>0</v>
      </c>
      <c r="L32" s="104"/>
      <c r="M32" s="104"/>
      <c r="N32" s="104"/>
      <c r="O32" s="104"/>
    </row>
    <row r="33" spans="1:15" ht="11.25" hidden="1">
      <c r="A33" s="99" t="s">
        <v>268</v>
      </c>
      <c r="B33" s="100">
        <v>34.2526</v>
      </c>
      <c r="C33" s="104"/>
      <c r="D33" s="104"/>
      <c r="E33" s="104">
        <v>59</v>
      </c>
      <c r="F33" s="104">
        <v>1960</v>
      </c>
      <c r="G33" s="104"/>
      <c r="H33" s="104"/>
      <c r="I33" s="104"/>
      <c r="J33" s="104"/>
      <c r="K33" s="104">
        <f t="shared" si="2"/>
        <v>0</v>
      </c>
      <c r="L33" s="104"/>
      <c r="M33" s="104"/>
      <c r="N33" s="104"/>
      <c r="O33" s="104"/>
    </row>
    <row r="34" spans="1:15" ht="11.25">
      <c r="A34" s="99" t="s">
        <v>248</v>
      </c>
      <c r="B34" s="100">
        <v>34.2527</v>
      </c>
      <c r="C34" s="104"/>
      <c r="D34" s="104"/>
      <c r="E34" s="104">
        <v>56</v>
      </c>
      <c r="F34" s="104">
        <v>126</v>
      </c>
      <c r="G34" s="104">
        <f>141+10</f>
        <v>151</v>
      </c>
      <c r="H34" s="104">
        <v>192</v>
      </c>
      <c r="I34" s="104">
        <v>219</v>
      </c>
      <c r="J34" s="104">
        <v>77</v>
      </c>
      <c r="K34" s="104">
        <v>150</v>
      </c>
      <c r="L34" s="104">
        <v>150</v>
      </c>
      <c r="M34" s="104">
        <v>150</v>
      </c>
      <c r="N34" s="104">
        <v>150</v>
      </c>
      <c r="O34" s="104">
        <v>150</v>
      </c>
    </row>
    <row r="35" spans="1:15" ht="11.25">
      <c r="A35" s="99" t="s">
        <v>290</v>
      </c>
      <c r="B35" s="100">
        <v>34.2528</v>
      </c>
      <c r="C35" s="104"/>
      <c r="D35" s="104"/>
      <c r="E35" s="104"/>
      <c r="F35" s="104"/>
      <c r="G35" s="104">
        <f>67+4</f>
        <v>71</v>
      </c>
      <c r="H35" s="104">
        <v>35</v>
      </c>
      <c r="I35" s="104"/>
      <c r="J35" s="104"/>
      <c r="K35" s="104">
        <f t="shared" si="2"/>
        <v>0</v>
      </c>
      <c r="L35" s="104"/>
      <c r="M35" s="104"/>
      <c r="N35" s="104"/>
      <c r="O35" s="104"/>
    </row>
    <row r="36" spans="1:15" ht="11.25">
      <c r="A36" s="99" t="s">
        <v>291</v>
      </c>
      <c r="B36" s="100">
        <v>34.2529</v>
      </c>
      <c r="C36" s="104"/>
      <c r="D36" s="104"/>
      <c r="E36" s="104"/>
      <c r="F36" s="104"/>
      <c r="G36" s="104">
        <f>55+13</f>
        <v>68</v>
      </c>
      <c r="H36" s="104">
        <v>48</v>
      </c>
      <c r="I36" s="104">
        <v>52</v>
      </c>
      <c r="J36" s="104">
        <v>25</v>
      </c>
      <c r="K36" s="104">
        <f t="shared" si="2"/>
        <v>42.85714285714286</v>
      </c>
      <c r="L36" s="104"/>
      <c r="M36" s="104"/>
      <c r="N36" s="104"/>
      <c r="O36" s="104"/>
    </row>
    <row r="37" spans="1:15" ht="11.25">
      <c r="A37" s="99" t="s">
        <v>292</v>
      </c>
      <c r="B37" s="100">
        <v>34.253</v>
      </c>
      <c r="C37" s="104"/>
      <c r="D37" s="104"/>
      <c r="E37" s="104"/>
      <c r="F37" s="104"/>
      <c r="G37" s="104">
        <v>464</v>
      </c>
      <c r="H37" s="104">
        <v>47</v>
      </c>
      <c r="I37" s="104"/>
      <c r="J37" s="104"/>
      <c r="K37" s="104">
        <f t="shared" si="2"/>
        <v>0</v>
      </c>
      <c r="L37" s="104"/>
      <c r="M37" s="104"/>
      <c r="N37" s="104"/>
      <c r="O37" s="104"/>
    </row>
    <row r="38" spans="1:15" ht="11.25">
      <c r="A38" s="99" t="s">
        <v>295</v>
      </c>
      <c r="B38" s="100">
        <v>34.2531</v>
      </c>
      <c r="C38" s="104"/>
      <c r="D38" s="104"/>
      <c r="E38" s="104"/>
      <c r="F38" s="104"/>
      <c r="G38" s="104">
        <f>176+28</f>
        <v>204</v>
      </c>
      <c r="H38" s="104">
        <v>351.64</v>
      </c>
      <c r="I38" s="104">
        <v>363</v>
      </c>
      <c r="J38" s="104">
        <v>127</v>
      </c>
      <c r="K38" s="104">
        <v>350</v>
      </c>
      <c r="L38" s="104">
        <v>350</v>
      </c>
      <c r="M38" s="104">
        <v>200</v>
      </c>
      <c r="N38" s="104">
        <v>200</v>
      </c>
      <c r="O38" s="104">
        <v>200</v>
      </c>
    </row>
    <row r="39" spans="1:15" ht="11.25">
      <c r="A39" s="99" t="s">
        <v>293</v>
      </c>
      <c r="B39" s="100">
        <v>34.2532</v>
      </c>
      <c r="C39" s="104"/>
      <c r="D39" s="104"/>
      <c r="E39" s="104"/>
      <c r="F39" s="104"/>
      <c r="G39" s="104">
        <f>70941+11733</f>
        <v>82674</v>
      </c>
      <c r="H39" s="104">
        <v>153674.67</v>
      </c>
      <c r="I39" s="104">
        <v>163914</v>
      </c>
      <c r="J39" s="104">
        <v>99326</v>
      </c>
      <c r="K39" s="104">
        <f t="shared" si="2"/>
        <v>170273.14285714284</v>
      </c>
      <c r="L39" s="104">
        <v>132000</v>
      </c>
      <c r="M39" s="104">
        <v>170000</v>
      </c>
      <c r="N39" s="104">
        <v>170000</v>
      </c>
      <c r="O39" s="104">
        <v>170000</v>
      </c>
    </row>
    <row r="40" spans="1:15" ht="11.25">
      <c r="A40" s="99" t="s">
        <v>294</v>
      </c>
      <c r="B40" s="100">
        <v>34.2533</v>
      </c>
      <c r="C40" s="104"/>
      <c r="D40" s="104"/>
      <c r="E40" s="104"/>
      <c r="F40" s="104"/>
      <c r="G40" s="104">
        <f>4374+914</f>
        <v>5288</v>
      </c>
      <c r="H40" s="104">
        <v>10800</v>
      </c>
      <c r="I40" s="104">
        <v>14370</v>
      </c>
      <c r="J40" s="104">
        <v>9840</v>
      </c>
      <c r="K40" s="104">
        <f t="shared" si="2"/>
        <v>16868.571428571428</v>
      </c>
      <c r="L40" s="104">
        <v>11000</v>
      </c>
      <c r="M40" s="104">
        <v>17000</v>
      </c>
      <c r="N40" s="104">
        <v>17000</v>
      </c>
      <c r="O40" s="104">
        <v>17000</v>
      </c>
    </row>
    <row r="41" spans="1:15" ht="11.25">
      <c r="A41" s="99" t="s">
        <v>296</v>
      </c>
      <c r="B41" s="100">
        <v>34.2534</v>
      </c>
      <c r="C41" s="104"/>
      <c r="D41" s="104"/>
      <c r="E41" s="104"/>
      <c r="F41" s="104"/>
      <c r="G41" s="104">
        <v>149</v>
      </c>
      <c r="H41" s="104"/>
      <c r="I41" s="104"/>
      <c r="J41" s="104"/>
      <c r="K41" s="104">
        <f t="shared" si="2"/>
        <v>0</v>
      </c>
      <c r="L41" s="104"/>
      <c r="M41" s="104"/>
      <c r="N41" s="104"/>
      <c r="O41" s="104"/>
    </row>
    <row r="42" spans="1:15" ht="11.25">
      <c r="A42" s="99" t="s">
        <v>297</v>
      </c>
      <c r="B42" s="100">
        <v>34.2535</v>
      </c>
      <c r="C42" s="104"/>
      <c r="D42" s="104"/>
      <c r="E42" s="104"/>
      <c r="F42" s="104"/>
      <c r="G42" s="104">
        <v>64</v>
      </c>
      <c r="H42" s="104"/>
      <c r="I42" s="104"/>
      <c r="J42" s="104"/>
      <c r="K42" s="104">
        <f t="shared" si="2"/>
        <v>0</v>
      </c>
      <c r="L42" s="104"/>
      <c r="M42" s="104"/>
      <c r="N42" s="104"/>
      <c r="O42" s="104"/>
    </row>
    <row r="43" spans="1:15" ht="11.25">
      <c r="A43" s="99" t="s">
        <v>298</v>
      </c>
      <c r="B43" s="100">
        <v>34.2536</v>
      </c>
      <c r="C43" s="104"/>
      <c r="D43" s="104"/>
      <c r="E43" s="104"/>
      <c r="F43" s="104"/>
      <c r="G43" s="104">
        <v>47</v>
      </c>
      <c r="H43" s="104"/>
      <c r="I43" s="104"/>
      <c r="J43" s="104"/>
      <c r="K43" s="104">
        <f t="shared" si="2"/>
        <v>0</v>
      </c>
      <c r="L43" s="104"/>
      <c r="M43" s="104"/>
      <c r="N43" s="104"/>
      <c r="O43" s="104"/>
    </row>
    <row r="44" spans="1:15" ht="11.25">
      <c r="A44" s="99" t="s">
        <v>411</v>
      </c>
      <c r="B44" s="100">
        <v>34.2538</v>
      </c>
      <c r="C44" s="104"/>
      <c r="D44" s="104"/>
      <c r="E44" s="104"/>
      <c r="F44" s="104"/>
      <c r="G44" s="104"/>
      <c r="H44" s="104"/>
      <c r="I44" s="104">
        <v>106</v>
      </c>
      <c r="J44" s="104">
        <v>29</v>
      </c>
      <c r="K44" s="104"/>
      <c r="L44" s="104"/>
      <c r="M44" s="104"/>
      <c r="N44" s="104"/>
      <c r="O44" s="104"/>
    </row>
    <row r="45" spans="1:15" ht="11.25">
      <c r="A45" s="99" t="s">
        <v>451</v>
      </c>
      <c r="B45" s="100">
        <v>34.2539</v>
      </c>
      <c r="C45" s="104"/>
      <c r="D45" s="104"/>
      <c r="E45" s="104"/>
      <c r="F45" s="104"/>
      <c r="G45" s="104"/>
      <c r="H45" s="104"/>
      <c r="I45" s="104"/>
      <c r="J45" s="104">
        <v>86</v>
      </c>
      <c r="K45" s="104"/>
      <c r="L45" s="104"/>
      <c r="M45" s="104"/>
      <c r="N45" s="104"/>
      <c r="O45" s="104"/>
    </row>
    <row r="46" spans="1:15" ht="11.25">
      <c r="A46" s="99" t="s">
        <v>447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>
        <v>14000</v>
      </c>
      <c r="N46" s="104">
        <v>14000</v>
      </c>
      <c r="O46" s="104">
        <v>14000</v>
      </c>
    </row>
    <row r="47" spans="1:15" ht="11.25">
      <c r="A47" s="99" t="s">
        <v>452</v>
      </c>
      <c r="B47" s="100">
        <v>34.254</v>
      </c>
      <c r="C47" s="104"/>
      <c r="D47" s="104"/>
      <c r="E47" s="104"/>
      <c r="F47" s="104"/>
      <c r="G47" s="104"/>
      <c r="H47" s="104"/>
      <c r="I47" s="104"/>
      <c r="J47" s="104">
        <v>55</v>
      </c>
      <c r="K47" s="104"/>
      <c r="L47" s="104"/>
      <c r="M47" s="104"/>
      <c r="N47" s="104"/>
      <c r="O47" s="104"/>
    </row>
    <row r="48" spans="1:16" ht="13.5" customHeight="1">
      <c r="A48" s="99" t="s">
        <v>148</v>
      </c>
      <c r="B48" s="100">
        <v>39.11</v>
      </c>
      <c r="C48" s="104">
        <v>7866</v>
      </c>
      <c r="D48" s="104">
        <v>35202</v>
      </c>
      <c r="E48" s="104">
        <v>35000</v>
      </c>
      <c r="F48" s="104">
        <v>4040</v>
      </c>
      <c r="G48" s="104">
        <v>10231</v>
      </c>
      <c r="H48" s="104">
        <v>18006</v>
      </c>
      <c r="I48" s="104">
        <v>25889</v>
      </c>
      <c r="J48" s="104">
        <v>12176</v>
      </c>
      <c r="K48" s="104">
        <f t="shared" si="2"/>
        <v>20873.142857142855</v>
      </c>
      <c r="L48" s="104">
        <v>20000</v>
      </c>
      <c r="M48" s="104">
        <v>20000</v>
      </c>
      <c r="N48" s="104">
        <v>20000</v>
      </c>
      <c r="O48" s="104">
        <v>20000</v>
      </c>
      <c r="P48" s="127">
        <f>(O48-L48)/L48</f>
        <v>0</v>
      </c>
    </row>
    <row r="49" spans="1:15" ht="13.5" customHeight="1">
      <c r="A49" s="99" t="s">
        <v>274</v>
      </c>
      <c r="C49" s="104"/>
      <c r="D49" s="104"/>
      <c r="E49" s="104">
        <v>33233</v>
      </c>
      <c r="F49" s="104">
        <v>279</v>
      </c>
      <c r="G49" s="104">
        <v>41868</v>
      </c>
      <c r="H49" s="104"/>
      <c r="I49" s="104">
        <v>20</v>
      </c>
      <c r="J49" s="104"/>
      <c r="K49" s="104">
        <f t="shared" si="2"/>
        <v>0</v>
      </c>
      <c r="L49" s="104"/>
      <c r="M49" s="104"/>
      <c r="N49" s="104"/>
      <c r="O49" s="104"/>
    </row>
    <row r="50" spans="3:15" ht="13.5" customHeight="1" thickBot="1"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1:16" ht="11.25">
      <c r="A51" s="107" t="s">
        <v>19</v>
      </c>
      <c r="C51" s="108">
        <f>SUM(C6:C50)</f>
        <v>205635</v>
      </c>
      <c r="D51" s="108">
        <f>SUM(D6:D50)</f>
        <v>310492</v>
      </c>
      <c r="E51" s="108">
        <v>301467</v>
      </c>
      <c r="F51" s="108">
        <v>290669</v>
      </c>
      <c r="G51" s="108">
        <v>349769</v>
      </c>
      <c r="H51" s="108">
        <v>415066</v>
      </c>
      <c r="I51" s="108">
        <v>438692</v>
      </c>
      <c r="J51" s="108">
        <f aca="true" t="shared" si="3" ref="J51:O51">SUM(J6:J50)</f>
        <v>241615</v>
      </c>
      <c r="K51" s="108">
        <f t="shared" si="3"/>
        <v>433215.99999999994</v>
      </c>
      <c r="L51" s="108">
        <f t="shared" si="3"/>
        <v>359300</v>
      </c>
      <c r="M51" s="108">
        <f t="shared" si="3"/>
        <v>441375</v>
      </c>
      <c r="N51" s="108">
        <f t="shared" si="3"/>
        <v>441375</v>
      </c>
      <c r="O51" s="108">
        <f t="shared" si="3"/>
        <v>441375</v>
      </c>
      <c r="P51" s="127">
        <f>(O51-L51)/L51</f>
        <v>0.22843028110214306</v>
      </c>
    </row>
    <row r="52" spans="2:19" s="13" customFormat="1" ht="11.25">
      <c r="B52" s="98"/>
      <c r="C52" s="99"/>
      <c r="D52" s="99"/>
      <c r="E52" s="99"/>
      <c r="F52" s="99"/>
      <c r="G52" s="99"/>
      <c r="H52" s="99"/>
      <c r="I52" s="99"/>
      <c r="J52" s="99"/>
      <c r="K52" s="99"/>
      <c r="P52" s="127"/>
      <c r="S52" s="104"/>
    </row>
    <row r="53" spans="1:19" s="13" customFormat="1" ht="11.25">
      <c r="A53" s="103" t="s">
        <v>35</v>
      </c>
      <c r="B53" s="98"/>
      <c r="C53" s="99"/>
      <c r="D53" s="99"/>
      <c r="E53" s="99"/>
      <c r="F53" s="99"/>
      <c r="G53" s="99"/>
      <c r="H53" s="99"/>
      <c r="I53" s="99"/>
      <c r="J53" s="99"/>
      <c r="K53" s="99"/>
      <c r="P53" s="127"/>
      <c r="S53" s="104"/>
    </row>
    <row r="54" spans="1:17" ht="11.25">
      <c r="A54" s="112" t="s">
        <v>124</v>
      </c>
      <c r="B54" s="98">
        <v>51.11</v>
      </c>
      <c r="C54" s="104">
        <v>17768</v>
      </c>
      <c r="D54" s="104">
        <v>19646</v>
      </c>
      <c r="E54" s="104">
        <v>27668</v>
      </c>
      <c r="F54" s="104">
        <v>124432</v>
      </c>
      <c r="G54" s="104">
        <f>124130+415</f>
        <v>124545</v>
      </c>
      <c r="H54" s="104">
        <v>120751</v>
      </c>
      <c r="I54" s="104">
        <v>101153</v>
      </c>
      <c r="J54" s="109">
        <v>86103</v>
      </c>
      <c r="K54" s="104">
        <f aca="true" t="shared" si="4" ref="K54:K92">+J54/$J$2*12</f>
        <v>147605.14285714284</v>
      </c>
      <c r="L54" s="104">
        <v>124251.32</v>
      </c>
      <c r="M54" s="104">
        <v>173012.4</v>
      </c>
      <c r="N54" s="104">
        <v>173012</v>
      </c>
      <c r="O54" s="104">
        <v>173012</v>
      </c>
      <c r="P54" s="127">
        <f aca="true" t="shared" si="5" ref="P54:P59">(O54-L54)/L54</f>
        <v>0.3924359113448452</v>
      </c>
      <c r="Q54" s="135" t="s">
        <v>239</v>
      </c>
    </row>
    <row r="55" spans="1:17" ht="11.25">
      <c r="A55" s="112" t="s">
        <v>310</v>
      </c>
      <c r="B55" s="98">
        <v>51.1105</v>
      </c>
      <c r="C55" s="104"/>
      <c r="D55" s="104"/>
      <c r="E55" s="104"/>
      <c r="F55" s="104"/>
      <c r="G55" s="104"/>
      <c r="H55" s="104">
        <v>14166</v>
      </c>
      <c r="I55" s="104">
        <v>38897</v>
      </c>
      <c r="J55" s="109">
        <v>7723</v>
      </c>
      <c r="K55" s="104">
        <f t="shared" si="4"/>
        <v>13239.42857142857</v>
      </c>
      <c r="L55" s="104">
        <v>32000</v>
      </c>
      <c r="M55" s="104">
        <v>32000</v>
      </c>
      <c r="N55" s="104">
        <v>18000</v>
      </c>
      <c r="O55" s="104">
        <v>18000</v>
      </c>
      <c r="P55" s="127">
        <f t="shared" si="5"/>
        <v>-0.4375</v>
      </c>
      <c r="Q55" s="135" t="s">
        <v>239</v>
      </c>
    </row>
    <row r="56" spans="1:19" ht="12.75">
      <c r="A56" s="112" t="s">
        <v>339</v>
      </c>
      <c r="B56" s="98"/>
      <c r="C56" s="104"/>
      <c r="D56" s="104"/>
      <c r="E56" s="104"/>
      <c r="F56" s="104"/>
      <c r="G56" s="104"/>
      <c r="H56" s="104"/>
      <c r="I56" s="104">
        <v>1558</v>
      </c>
      <c r="J56" s="109">
        <v>12811</v>
      </c>
      <c r="K56" s="104">
        <f t="shared" si="4"/>
        <v>21961.714285714286</v>
      </c>
      <c r="L56" s="104">
        <v>13750</v>
      </c>
      <c r="M56" s="104">
        <v>14000</v>
      </c>
      <c r="N56" s="104">
        <v>14000</v>
      </c>
      <c r="O56" s="104">
        <v>14000</v>
      </c>
      <c r="Q56" s="135"/>
      <c r="R56" s="9"/>
      <c r="S56" s="221"/>
    </row>
    <row r="57" spans="1:19" ht="12.75">
      <c r="A57" s="112" t="s">
        <v>337</v>
      </c>
      <c r="B57" s="98">
        <v>51.1135</v>
      </c>
      <c r="C57" s="104"/>
      <c r="D57" s="104"/>
      <c r="E57" s="104"/>
      <c r="F57" s="104"/>
      <c r="G57" s="104">
        <v>6948</v>
      </c>
      <c r="H57" s="104">
        <v>2068</v>
      </c>
      <c r="I57" s="104">
        <v>6167</v>
      </c>
      <c r="J57" s="109"/>
      <c r="K57" s="104">
        <v>2000</v>
      </c>
      <c r="L57" s="104">
        <v>2100</v>
      </c>
      <c r="M57" s="104">
        <v>2000</v>
      </c>
      <c r="N57" s="104">
        <v>2000</v>
      </c>
      <c r="O57" s="104">
        <v>2000</v>
      </c>
      <c r="P57" s="127">
        <f t="shared" si="5"/>
        <v>-0.047619047619047616</v>
      </c>
      <c r="Q57" s="135"/>
      <c r="R57" s="9"/>
      <c r="S57" s="221"/>
    </row>
    <row r="58" spans="1:19" ht="12.75">
      <c r="A58" s="112" t="s">
        <v>125</v>
      </c>
      <c r="B58" s="98">
        <v>51.21</v>
      </c>
      <c r="C58" s="104">
        <v>2488</v>
      </c>
      <c r="D58" s="104">
        <v>3194</v>
      </c>
      <c r="E58" s="104">
        <v>2730</v>
      </c>
      <c r="F58" s="104">
        <v>12948</v>
      </c>
      <c r="G58" s="104">
        <v>13677</v>
      </c>
      <c r="H58" s="104">
        <v>16987</v>
      </c>
      <c r="I58" s="104">
        <v>15011</v>
      </c>
      <c r="J58" s="109">
        <v>12229</v>
      </c>
      <c r="K58" s="104">
        <f t="shared" si="4"/>
        <v>20964</v>
      </c>
      <c r="L58" s="104">
        <v>22078.5</v>
      </c>
      <c r="M58" s="104">
        <f>4800*7</f>
        <v>33600</v>
      </c>
      <c r="N58" s="104">
        <v>33600</v>
      </c>
      <c r="O58" s="104">
        <v>33600</v>
      </c>
      <c r="P58" s="127">
        <f t="shared" si="5"/>
        <v>0.521842516475304</v>
      </c>
      <c r="Q58" s="104" t="s">
        <v>448</v>
      </c>
      <c r="R58" s="9"/>
      <c r="S58" s="221"/>
    </row>
    <row r="59" spans="1:19" ht="12.75">
      <c r="A59" s="112" t="s">
        <v>22</v>
      </c>
      <c r="B59" s="98">
        <v>51.22</v>
      </c>
      <c r="C59" s="104">
        <v>1359</v>
      </c>
      <c r="D59" s="104">
        <v>1400</v>
      </c>
      <c r="E59" s="104">
        <v>1995</v>
      </c>
      <c r="F59" s="104">
        <v>8289</v>
      </c>
      <c r="G59" s="104">
        <f>9813+32</f>
        <v>9845</v>
      </c>
      <c r="H59" s="104">
        <v>10318</v>
      </c>
      <c r="I59" s="104">
        <v>11194</v>
      </c>
      <c r="J59" s="109">
        <v>8093</v>
      </c>
      <c r="K59" s="104">
        <f t="shared" si="4"/>
        <v>13873.714285714286</v>
      </c>
      <c r="L59" s="104">
        <v>13165.75098</v>
      </c>
      <c r="M59" s="104">
        <f>0.0765*(M54+M55+M56+M57)</f>
        <v>16907.4486</v>
      </c>
      <c r="N59" s="104">
        <f>0.0765*(N54+N55+N56+N57)</f>
        <v>15836.418</v>
      </c>
      <c r="O59" s="104">
        <f>0.0765*(O54+O55+O56+O57)</f>
        <v>15836.418</v>
      </c>
      <c r="P59" s="127">
        <f t="shared" si="5"/>
        <v>0.20284957721416655</v>
      </c>
      <c r="Q59" s="104"/>
      <c r="R59" s="9"/>
      <c r="S59" s="221"/>
    </row>
    <row r="60" spans="1:19" ht="12.75">
      <c r="A60" s="126" t="s">
        <v>126</v>
      </c>
      <c r="B60" s="110">
        <v>51.24</v>
      </c>
      <c r="C60" s="123">
        <v>240</v>
      </c>
      <c r="D60" s="123">
        <v>211</v>
      </c>
      <c r="E60" s="123">
        <v>310</v>
      </c>
      <c r="F60" s="123">
        <v>580</v>
      </c>
      <c r="G60" s="123">
        <v>1153</v>
      </c>
      <c r="H60" s="123">
        <v>1129</v>
      </c>
      <c r="I60" s="123">
        <v>1464</v>
      </c>
      <c r="J60" s="109">
        <v>1084</v>
      </c>
      <c r="K60" s="104">
        <f t="shared" si="4"/>
        <v>1858.2857142857142</v>
      </c>
      <c r="L60" s="123">
        <v>1600</v>
      </c>
      <c r="M60" s="123">
        <v>1600</v>
      </c>
      <c r="N60" s="123">
        <v>1600</v>
      </c>
      <c r="O60" s="123">
        <v>1600</v>
      </c>
      <c r="P60" s="127">
        <f>(O60-L60)/L60</f>
        <v>0</v>
      </c>
      <c r="R60" s="9"/>
      <c r="S60" s="221"/>
    </row>
    <row r="61" spans="1:15" ht="11.25">
      <c r="A61" s="126" t="s">
        <v>396</v>
      </c>
      <c r="B61" s="110">
        <v>51.27</v>
      </c>
      <c r="C61" s="123"/>
      <c r="D61" s="123"/>
      <c r="E61" s="123"/>
      <c r="F61" s="123"/>
      <c r="G61" s="123"/>
      <c r="H61" s="123"/>
      <c r="I61" s="123">
        <v>4186</v>
      </c>
      <c r="J61" s="109"/>
      <c r="K61" s="104"/>
      <c r="L61" s="123"/>
      <c r="M61" s="123"/>
      <c r="N61" s="123"/>
      <c r="O61" s="123"/>
    </row>
    <row r="62" spans="1:17" ht="11.25">
      <c r="A62" s="126"/>
      <c r="B62" s="110"/>
      <c r="C62" s="123"/>
      <c r="D62" s="123"/>
      <c r="E62" s="123"/>
      <c r="F62" s="123"/>
      <c r="G62" s="123"/>
      <c r="H62" s="123"/>
      <c r="I62" s="123"/>
      <c r="J62" s="123"/>
      <c r="K62" s="104"/>
      <c r="L62" s="123"/>
      <c r="M62" s="123"/>
      <c r="N62" s="123"/>
      <c r="O62" s="123"/>
      <c r="Q62" s="135"/>
    </row>
    <row r="63" spans="1:16" ht="11.25">
      <c r="A63" s="112" t="s">
        <v>127</v>
      </c>
      <c r="B63" s="98">
        <v>52.101</v>
      </c>
      <c r="C63" s="104">
        <v>90957</v>
      </c>
      <c r="D63" s="104">
        <v>48143</v>
      </c>
      <c r="E63" s="104"/>
      <c r="F63" s="104"/>
      <c r="G63" s="104">
        <v>14000</v>
      </c>
      <c r="H63" s="104">
        <v>7083</v>
      </c>
      <c r="I63" s="104">
        <v>571</v>
      </c>
      <c r="J63" s="109">
        <v>4567</v>
      </c>
      <c r="K63" s="104">
        <f t="shared" si="4"/>
        <v>7829.142857142857</v>
      </c>
      <c r="L63" s="104">
        <v>14000</v>
      </c>
      <c r="M63" s="179">
        <v>14000</v>
      </c>
      <c r="N63" s="104">
        <v>7000</v>
      </c>
      <c r="O63" s="104">
        <v>7000</v>
      </c>
      <c r="P63" s="127">
        <f>(O63-L63)/L63</f>
        <v>-0.5</v>
      </c>
    </row>
    <row r="64" spans="1:16" ht="11.25">
      <c r="A64" s="112" t="s">
        <v>128</v>
      </c>
      <c r="B64" s="98">
        <v>52.1011</v>
      </c>
      <c r="C64" s="104"/>
      <c r="D64" s="104">
        <v>1385</v>
      </c>
      <c r="E64" s="104">
        <v>4300</v>
      </c>
      <c r="F64" s="104">
        <v>5160</v>
      </c>
      <c r="G64" s="104">
        <v>5160</v>
      </c>
      <c r="H64" s="104">
        <v>4730</v>
      </c>
      <c r="I64" s="104">
        <v>9399</v>
      </c>
      <c r="J64" s="109">
        <v>3010</v>
      </c>
      <c r="K64" s="104">
        <f t="shared" si="4"/>
        <v>5160</v>
      </c>
      <c r="L64" s="104">
        <v>5160</v>
      </c>
      <c r="M64" s="179">
        <v>5160</v>
      </c>
      <c r="N64" s="104">
        <v>5160</v>
      </c>
      <c r="O64" s="104">
        <v>5160</v>
      </c>
      <c r="P64" s="127">
        <f>(O64-L64)/L64</f>
        <v>0</v>
      </c>
    </row>
    <row r="65" spans="1:16" ht="11.25">
      <c r="A65" s="112" t="s">
        <v>129</v>
      </c>
      <c r="B65" s="98">
        <v>52.1012</v>
      </c>
      <c r="C65" s="104"/>
      <c r="D65" s="104">
        <v>11222</v>
      </c>
      <c r="E65" s="104">
        <v>48042</v>
      </c>
      <c r="F65" s="104">
        <v>56520</v>
      </c>
      <c r="G65" s="104">
        <v>56520</v>
      </c>
      <c r="H65" s="104">
        <v>48676</v>
      </c>
      <c r="I65" s="104">
        <v>51298</v>
      </c>
      <c r="J65" s="109">
        <v>33912</v>
      </c>
      <c r="K65" s="104">
        <f t="shared" si="4"/>
        <v>58134.857142857145</v>
      </c>
      <c r="L65" s="104">
        <v>51000</v>
      </c>
      <c r="M65" s="179">
        <v>51000</v>
      </c>
      <c r="N65" s="104">
        <v>51000</v>
      </c>
      <c r="O65" s="104">
        <v>51000</v>
      </c>
      <c r="P65" s="127">
        <f>(O65-L65)/L65</f>
        <v>0</v>
      </c>
    </row>
    <row r="66" spans="1:16" ht="11.25">
      <c r="A66" s="112" t="s">
        <v>130</v>
      </c>
      <c r="B66" s="98">
        <v>52.1013</v>
      </c>
      <c r="C66" s="104"/>
      <c r="D66" s="104">
        <v>1040</v>
      </c>
      <c r="E66" s="104">
        <v>12480</v>
      </c>
      <c r="F66" s="104">
        <v>11465</v>
      </c>
      <c r="G66" s="104">
        <v>15828</v>
      </c>
      <c r="H66" s="104">
        <v>17321</v>
      </c>
      <c r="I66" s="104">
        <v>11674</v>
      </c>
      <c r="J66" s="109">
        <v>9840</v>
      </c>
      <c r="K66" s="104">
        <f t="shared" si="4"/>
        <v>16868.571428571428</v>
      </c>
      <c r="L66" s="104">
        <v>15000</v>
      </c>
      <c r="M66" s="179">
        <v>15000</v>
      </c>
      <c r="N66" s="104">
        <v>15000</v>
      </c>
      <c r="O66" s="104">
        <v>15000</v>
      </c>
      <c r="P66" s="127">
        <f>(O66-L66)/L66</f>
        <v>0</v>
      </c>
    </row>
    <row r="67" spans="1:16" ht="11.25">
      <c r="A67" s="112" t="s">
        <v>131</v>
      </c>
      <c r="B67" s="98">
        <v>52.1014</v>
      </c>
      <c r="C67" s="104"/>
      <c r="D67" s="104">
        <v>637</v>
      </c>
      <c r="E67" s="104">
        <v>7668</v>
      </c>
      <c r="F67" s="104">
        <v>7012</v>
      </c>
      <c r="G67" s="104">
        <v>6976</v>
      </c>
      <c r="H67" s="104">
        <v>7650</v>
      </c>
      <c r="I67" s="104">
        <v>7623</v>
      </c>
      <c r="J67" s="109">
        <v>5530</v>
      </c>
      <c r="K67" s="104">
        <f t="shared" si="4"/>
        <v>9480</v>
      </c>
      <c r="L67" s="104">
        <v>7700</v>
      </c>
      <c r="M67" s="179">
        <v>7700</v>
      </c>
      <c r="N67" s="104">
        <v>7700</v>
      </c>
      <c r="O67" s="104">
        <v>7700</v>
      </c>
      <c r="P67" s="127">
        <f>(O67-L67)/L67</f>
        <v>0</v>
      </c>
    </row>
    <row r="68" spans="1:15" ht="11.25" hidden="1">
      <c r="A68" s="112" t="s">
        <v>132</v>
      </c>
      <c r="B68" s="98">
        <v>52.1015</v>
      </c>
      <c r="C68" s="104"/>
      <c r="D68" s="104">
        <v>23644</v>
      </c>
      <c r="E68" s="104">
        <v>11222</v>
      </c>
      <c r="F68" s="104"/>
      <c r="G68" s="104"/>
      <c r="H68" s="104"/>
      <c r="I68" s="104"/>
      <c r="J68" s="104"/>
      <c r="K68" s="104">
        <f t="shared" si="4"/>
        <v>0</v>
      </c>
      <c r="L68" s="104"/>
      <c r="N68" s="104"/>
      <c r="O68" s="104"/>
    </row>
    <row r="69" spans="1:16" ht="11.25">
      <c r="A69" s="112" t="s">
        <v>109</v>
      </c>
      <c r="B69" s="98">
        <v>52.1016</v>
      </c>
      <c r="C69" s="104"/>
      <c r="D69" s="104">
        <v>8209</v>
      </c>
      <c r="E69" s="104">
        <v>3965</v>
      </c>
      <c r="F69" s="104">
        <v>2745</v>
      </c>
      <c r="G69" s="104">
        <f>18672+1331</f>
        <v>20003</v>
      </c>
      <c r="H69" s="104">
        <v>12947</v>
      </c>
      <c r="I69" s="104">
        <v>8885</v>
      </c>
      <c r="J69" s="109">
        <v>9716</v>
      </c>
      <c r="K69" s="104">
        <f t="shared" si="4"/>
        <v>16656</v>
      </c>
      <c r="L69" s="104">
        <v>10800</v>
      </c>
      <c r="M69" s="179">
        <v>38600</v>
      </c>
      <c r="N69" s="104">
        <v>38000</v>
      </c>
      <c r="O69" s="104">
        <v>38000</v>
      </c>
      <c r="P69" s="127">
        <f>(O69-L69)/L69</f>
        <v>2.5185185185185186</v>
      </c>
    </row>
    <row r="70" spans="1:16" ht="11.25">
      <c r="A70" s="112" t="s">
        <v>114</v>
      </c>
      <c r="B70" s="98">
        <v>52.1017</v>
      </c>
      <c r="C70" s="104"/>
      <c r="D70" s="104"/>
      <c r="E70" s="104"/>
      <c r="F70" s="104">
        <v>1440</v>
      </c>
      <c r="G70" s="104">
        <v>1328</v>
      </c>
      <c r="H70" s="104">
        <v>1991</v>
      </c>
      <c r="I70" s="104">
        <v>2605</v>
      </c>
      <c r="J70" s="109"/>
      <c r="K70" s="104">
        <v>2000</v>
      </c>
      <c r="L70" s="104">
        <v>5250</v>
      </c>
      <c r="M70" s="179">
        <v>2000</v>
      </c>
      <c r="N70" s="104"/>
      <c r="O70" s="104"/>
      <c r="P70" s="127">
        <f>(O70-L70)/L70</f>
        <v>-1</v>
      </c>
    </row>
    <row r="71" spans="1:15" ht="11.25" hidden="1">
      <c r="A71" s="112" t="s">
        <v>108</v>
      </c>
      <c r="B71" s="98"/>
      <c r="C71" s="104"/>
      <c r="D71" s="104"/>
      <c r="E71" s="104"/>
      <c r="F71" s="104"/>
      <c r="G71" s="104"/>
      <c r="H71" s="104"/>
      <c r="I71" s="104"/>
      <c r="J71" s="104"/>
      <c r="K71" s="104">
        <f t="shared" si="4"/>
        <v>0</v>
      </c>
      <c r="L71" s="104"/>
      <c r="N71" s="104"/>
      <c r="O71" s="104"/>
    </row>
    <row r="72" spans="1:15" ht="11.25">
      <c r="A72" s="112" t="s">
        <v>112</v>
      </c>
      <c r="B72" s="98">
        <v>52.1019</v>
      </c>
      <c r="C72" s="104"/>
      <c r="D72" s="104"/>
      <c r="E72" s="104"/>
      <c r="F72" s="104"/>
      <c r="G72" s="104"/>
      <c r="H72" s="104"/>
      <c r="I72" s="104">
        <v>216</v>
      </c>
      <c r="J72" s="104">
        <v>59</v>
      </c>
      <c r="K72" s="104">
        <v>1000</v>
      </c>
      <c r="L72" s="104">
        <v>1400</v>
      </c>
      <c r="M72" s="99">
        <v>1000</v>
      </c>
      <c r="N72" s="104">
        <v>1000</v>
      </c>
      <c r="O72" s="104">
        <v>1000</v>
      </c>
    </row>
    <row r="73" spans="1:15" ht="11.25" hidden="1">
      <c r="A73" s="112" t="s">
        <v>113</v>
      </c>
      <c r="B73" s="98"/>
      <c r="C73" s="104"/>
      <c r="D73" s="104"/>
      <c r="E73" s="104"/>
      <c r="F73" s="104"/>
      <c r="G73" s="104"/>
      <c r="H73" s="104"/>
      <c r="I73" s="104"/>
      <c r="J73" s="104"/>
      <c r="K73" s="104">
        <f t="shared" si="4"/>
        <v>0</v>
      </c>
      <c r="L73" s="104"/>
      <c r="N73" s="104"/>
      <c r="O73" s="104"/>
    </row>
    <row r="74" spans="1:16" ht="11.25">
      <c r="A74" s="112" t="s">
        <v>133</v>
      </c>
      <c r="B74" s="98">
        <v>52.102</v>
      </c>
      <c r="C74" s="104"/>
      <c r="D74" s="104">
        <v>1018</v>
      </c>
      <c r="E74" s="104">
        <v>1056</v>
      </c>
      <c r="F74" s="104">
        <v>1056</v>
      </c>
      <c r="G74" s="104">
        <v>1116</v>
      </c>
      <c r="H74" s="104">
        <v>1116</v>
      </c>
      <c r="I74" s="104">
        <v>3481</v>
      </c>
      <c r="J74" s="109"/>
      <c r="K74" s="104">
        <v>1850</v>
      </c>
      <c r="L74" s="104">
        <v>1850</v>
      </c>
      <c r="M74" s="179">
        <v>1850</v>
      </c>
      <c r="N74" s="104"/>
      <c r="O74" s="104"/>
      <c r="P74" s="127">
        <f>(O74-L74)/L74</f>
        <v>-1</v>
      </c>
    </row>
    <row r="75" spans="1:15" ht="11.25">
      <c r="A75" s="112" t="s">
        <v>134</v>
      </c>
      <c r="B75" s="98">
        <v>52.124</v>
      </c>
      <c r="C75" s="104">
        <v>1245</v>
      </c>
      <c r="D75" s="104">
        <v>578</v>
      </c>
      <c r="E75" s="104"/>
      <c r="F75" s="104"/>
      <c r="G75" s="104"/>
      <c r="H75" s="104"/>
      <c r="I75" s="104"/>
      <c r="J75" s="109">
        <v>950</v>
      </c>
      <c r="K75" s="104">
        <v>950</v>
      </c>
      <c r="L75" s="104"/>
      <c r="M75" s="179">
        <v>950</v>
      </c>
      <c r="N75" s="104">
        <v>950</v>
      </c>
      <c r="O75" s="104">
        <v>950</v>
      </c>
    </row>
    <row r="76" spans="1:16" ht="11.25">
      <c r="A76" s="112" t="s">
        <v>41</v>
      </c>
      <c r="B76" s="98">
        <v>52.211</v>
      </c>
      <c r="C76" s="104">
        <v>255</v>
      </c>
      <c r="D76" s="104">
        <v>525</v>
      </c>
      <c r="E76" s="104">
        <v>634</v>
      </c>
      <c r="F76" s="104">
        <v>662</v>
      </c>
      <c r="G76" s="104">
        <f>942+86</f>
        <v>1028</v>
      </c>
      <c r="H76" s="104">
        <v>728</v>
      </c>
      <c r="I76" s="104">
        <v>1159</v>
      </c>
      <c r="J76" s="109">
        <v>688</v>
      </c>
      <c r="K76" s="104">
        <f t="shared" si="4"/>
        <v>1179.4285714285716</v>
      </c>
      <c r="L76" s="104">
        <v>1100</v>
      </c>
      <c r="M76" s="179">
        <v>1300</v>
      </c>
      <c r="N76" s="104">
        <v>1300</v>
      </c>
      <c r="O76" s="104">
        <v>1300</v>
      </c>
      <c r="P76" s="127">
        <f>(O76-L76)/L76</f>
        <v>0.18181818181818182</v>
      </c>
    </row>
    <row r="77" spans="1:17" ht="11.25">
      <c r="A77" s="112" t="s">
        <v>135</v>
      </c>
      <c r="B77" s="98">
        <v>52.22</v>
      </c>
      <c r="C77" s="104"/>
      <c r="D77" s="104">
        <v>280</v>
      </c>
      <c r="E77" s="104"/>
      <c r="F77" s="104"/>
      <c r="G77" s="104"/>
      <c r="H77" s="104">
        <v>652</v>
      </c>
      <c r="I77" s="104"/>
      <c r="J77" s="104"/>
      <c r="K77" s="104">
        <f t="shared" si="4"/>
        <v>0</v>
      </c>
      <c r="L77" s="104">
        <v>1500</v>
      </c>
      <c r="M77" s="179">
        <v>1500</v>
      </c>
      <c r="N77" s="104">
        <v>1000</v>
      </c>
      <c r="O77" s="104">
        <v>1000</v>
      </c>
      <c r="P77" s="127">
        <f>(O77-L77)/L77</f>
        <v>-0.3333333333333333</v>
      </c>
      <c r="Q77" s="99" t="s">
        <v>236</v>
      </c>
    </row>
    <row r="78" spans="1:15" ht="11.25" hidden="1">
      <c r="A78" s="112" t="s">
        <v>136</v>
      </c>
      <c r="B78" s="98">
        <v>52.2205</v>
      </c>
      <c r="C78" s="104">
        <v>670</v>
      </c>
      <c r="D78" s="104"/>
      <c r="E78" s="104">
        <v>35</v>
      </c>
      <c r="F78" s="104"/>
      <c r="G78" s="104"/>
      <c r="H78" s="104"/>
      <c r="I78" s="104"/>
      <c r="J78" s="104"/>
      <c r="K78" s="104">
        <f t="shared" si="4"/>
        <v>0</v>
      </c>
      <c r="L78" s="104"/>
      <c r="N78" s="104"/>
      <c r="O78" s="104"/>
    </row>
    <row r="79" spans="1:16" ht="11.25">
      <c r="A79" s="112" t="s">
        <v>137</v>
      </c>
      <c r="B79" s="98">
        <v>52.2206</v>
      </c>
      <c r="C79" s="104"/>
      <c r="D79" s="104">
        <v>487</v>
      </c>
      <c r="E79" s="104"/>
      <c r="F79" s="104">
        <v>338</v>
      </c>
      <c r="G79" s="104"/>
      <c r="H79" s="104">
        <v>907</v>
      </c>
      <c r="I79" s="104">
        <v>314</v>
      </c>
      <c r="J79" s="109">
        <v>250</v>
      </c>
      <c r="K79" s="104">
        <f t="shared" si="4"/>
        <v>428.57142857142856</v>
      </c>
      <c r="L79" s="104">
        <v>500</v>
      </c>
      <c r="M79" s="179">
        <v>500</v>
      </c>
      <c r="N79" s="104">
        <v>500</v>
      </c>
      <c r="O79" s="104">
        <v>500</v>
      </c>
      <c r="P79" s="127">
        <f>(O79-L79)/L79</f>
        <v>0</v>
      </c>
    </row>
    <row r="80" spans="1:16" ht="11.25">
      <c r="A80" s="112" t="s">
        <v>138</v>
      </c>
      <c r="B80" s="98">
        <v>52.32</v>
      </c>
      <c r="C80" s="104">
        <v>14685</v>
      </c>
      <c r="D80" s="104">
        <v>25398</v>
      </c>
      <c r="E80" s="104">
        <v>22752</v>
      </c>
      <c r="F80" s="104">
        <v>29808</v>
      </c>
      <c r="G80" s="104">
        <f>29147+15+89</f>
        <v>29251</v>
      </c>
      <c r="H80" s="104">
        <v>28991</v>
      </c>
      <c r="I80" s="104">
        <v>31411</v>
      </c>
      <c r="J80" s="109">
        <v>20430</v>
      </c>
      <c r="K80" s="104">
        <f t="shared" si="4"/>
        <v>35022.857142857145</v>
      </c>
      <c r="L80" s="104">
        <v>32000</v>
      </c>
      <c r="M80" s="179">
        <v>32000</v>
      </c>
      <c r="N80" s="104">
        <v>32000</v>
      </c>
      <c r="O80" s="104">
        <v>32000</v>
      </c>
      <c r="P80" s="127">
        <f>(O80-L80)/L80</f>
        <v>0</v>
      </c>
    </row>
    <row r="81" spans="1:16" ht="11.25">
      <c r="A81" s="112" t="s">
        <v>44</v>
      </c>
      <c r="B81" s="98">
        <v>52.321</v>
      </c>
      <c r="C81" s="104">
        <v>102</v>
      </c>
      <c r="D81" s="104">
        <v>69</v>
      </c>
      <c r="E81" s="104">
        <v>73</v>
      </c>
      <c r="F81" s="104">
        <v>470</v>
      </c>
      <c r="G81" s="104">
        <v>87</v>
      </c>
      <c r="H81" s="104"/>
      <c r="I81" s="104">
        <v>90</v>
      </c>
      <c r="J81" s="104">
        <v>41</v>
      </c>
      <c r="K81" s="104">
        <f t="shared" si="4"/>
        <v>70.28571428571428</v>
      </c>
      <c r="L81" s="104">
        <v>200</v>
      </c>
      <c r="M81" s="179">
        <v>200</v>
      </c>
      <c r="N81" s="104">
        <v>200</v>
      </c>
      <c r="O81" s="104">
        <v>200</v>
      </c>
      <c r="P81" s="127">
        <f>(O81-L81)/L81</f>
        <v>0</v>
      </c>
    </row>
    <row r="82" spans="1:15" ht="11.25" hidden="1">
      <c r="A82" s="112" t="s">
        <v>139</v>
      </c>
      <c r="B82" s="98">
        <v>52.34</v>
      </c>
      <c r="C82" s="104"/>
      <c r="D82" s="104"/>
      <c r="E82" s="104"/>
      <c r="F82" s="104"/>
      <c r="G82" s="104"/>
      <c r="H82" s="104"/>
      <c r="I82" s="104"/>
      <c r="J82" s="104"/>
      <c r="K82" s="104">
        <f t="shared" si="4"/>
        <v>0</v>
      </c>
      <c r="L82" s="104"/>
      <c r="M82" s="179"/>
      <c r="N82" s="104"/>
      <c r="O82" s="104"/>
    </row>
    <row r="83" spans="1:16" ht="11.25">
      <c r="A83" s="112" t="s">
        <v>63</v>
      </c>
      <c r="B83" s="98">
        <v>52.35</v>
      </c>
      <c r="C83" s="104">
        <v>328</v>
      </c>
      <c r="D83" s="104">
        <v>533</v>
      </c>
      <c r="E83" s="104">
        <v>223</v>
      </c>
      <c r="F83" s="104">
        <v>567</v>
      </c>
      <c r="G83" s="104">
        <v>407</v>
      </c>
      <c r="H83" s="104">
        <v>494</v>
      </c>
      <c r="I83" s="104">
        <v>409</v>
      </c>
      <c r="J83" s="109"/>
      <c r="K83" s="104">
        <f t="shared" si="4"/>
        <v>0</v>
      </c>
      <c r="L83" s="104">
        <v>500</v>
      </c>
      <c r="M83" s="179">
        <v>500</v>
      </c>
      <c r="N83" s="104">
        <v>500</v>
      </c>
      <c r="O83" s="104">
        <v>500</v>
      </c>
      <c r="P83" s="127">
        <f aca="true" t="shared" si="6" ref="P83:P88">(O83-L83)/L83</f>
        <v>0</v>
      </c>
    </row>
    <row r="84" spans="1:16" ht="11.25">
      <c r="A84" s="112" t="s">
        <v>140</v>
      </c>
      <c r="B84" s="98">
        <v>52.36</v>
      </c>
      <c r="C84" s="104"/>
      <c r="D84" s="104">
        <v>150</v>
      </c>
      <c r="E84" s="104"/>
      <c r="F84" s="104">
        <v>95</v>
      </c>
      <c r="G84" s="104">
        <v>95</v>
      </c>
      <c r="H84" s="104">
        <v>95</v>
      </c>
      <c r="I84" s="104">
        <v>120</v>
      </c>
      <c r="J84" s="109">
        <v>120</v>
      </c>
      <c r="K84" s="104">
        <f t="shared" si="4"/>
        <v>205.71428571428572</v>
      </c>
      <c r="L84" s="104">
        <v>120</v>
      </c>
      <c r="M84" s="179">
        <v>220</v>
      </c>
      <c r="N84" s="104">
        <v>220</v>
      </c>
      <c r="O84" s="104">
        <v>220</v>
      </c>
      <c r="P84" s="127">
        <f t="shared" si="6"/>
        <v>0.8333333333333334</v>
      </c>
    </row>
    <row r="85" spans="1:16" ht="11.25">
      <c r="A85" s="112" t="s">
        <v>141</v>
      </c>
      <c r="B85" s="98">
        <v>52.37</v>
      </c>
      <c r="C85" s="123"/>
      <c r="D85" s="123"/>
      <c r="E85" s="123"/>
      <c r="F85" s="123">
        <v>489</v>
      </c>
      <c r="G85" s="123">
        <v>85</v>
      </c>
      <c r="H85" s="123">
        <v>395</v>
      </c>
      <c r="I85" s="123">
        <v>45</v>
      </c>
      <c r="J85" s="123">
        <v>95</v>
      </c>
      <c r="K85" s="104">
        <f t="shared" si="4"/>
        <v>162.85714285714286</v>
      </c>
      <c r="L85" s="123">
        <v>500</v>
      </c>
      <c r="M85" s="179">
        <v>500</v>
      </c>
      <c r="N85" s="123">
        <v>500</v>
      </c>
      <c r="O85" s="123">
        <v>500</v>
      </c>
      <c r="P85" s="127">
        <f t="shared" si="6"/>
        <v>0</v>
      </c>
    </row>
    <row r="86" spans="1:16" ht="11.25">
      <c r="A86" s="112" t="s">
        <v>47</v>
      </c>
      <c r="B86" s="98">
        <v>53.12</v>
      </c>
      <c r="C86" s="104">
        <v>2564</v>
      </c>
      <c r="D86" s="104">
        <v>13587</v>
      </c>
      <c r="E86" s="104">
        <v>10923</v>
      </c>
      <c r="F86" s="104">
        <v>15406</v>
      </c>
      <c r="G86" s="104">
        <f>16843+119</f>
        <v>16962</v>
      </c>
      <c r="H86" s="104">
        <v>17165</v>
      </c>
      <c r="I86" s="104">
        <v>18760</v>
      </c>
      <c r="J86" s="109">
        <v>12854</v>
      </c>
      <c r="K86" s="104">
        <f t="shared" si="4"/>
        <v>22035.428571428572</v>
      </c>
      <c r="L86" s="104">
        <v>17000</v>
      </c>
      <c r="M86" s="179">
        <v>20000</v>
      </c>
      <c r="N86" s="104">
        <v>20000</v>
      </c>
      <c r="O86" s="104">
        <v>20000</v>
      </c>
      <c r="P86" s="127">
        <f t="shared" si="6"/>
        <v>0.17647058823529413</v>
      </c>
    </row>
    <row r="87" spans="1:16" ht="11.25">
      <c r="A87" s="112" t="s">
        <v>23</v>
      </c>
      <c r="B87" s="98">
        <v>53.171</v>
      </c>
      <c r="C87" s="104">
        <v>2789</v>
      </c>
      <c r="D87" s="104">
        <v>1289</v>
      </c>
      <c r="E87" s="104">
        <v>818</v>
      </c>
      <c r="F87" s="104">
        <v>1710</v>
      </c>
      <c r="G87" s="104">
        <v>1726</v>
      </c>
      <c r="H87" s="104">
        <v>1520</v>
      </c>
      <c r="I87" s="104">
        <v>1554</v>
      </c>
      <c r="J87" s="109">
        <v>810</v>
      </c>
      <c r="K87" s="104">
        <f t="shared" si="4"/>
        <v>1388.5714285714284</v>
      </c>
      <c r="L87" s="104">
        <v>1500</v>
      </c>
      <c r="M87" s="179">
        <v>1500</v>
      </c>
      <c r="N87" s="104">
        <v>1500</v>
      </c>
      <c r="O87" s="104">
        <v>1500</v>
      </c>
      <c r="P87" s="127">
        <f t="shared" si="6"/>
        <v>0</v>
      </c>
    </row>
    <row r="88" spans="1:16" ht="11.25">
      <c r="A88" s="112" t="s">
        <v>142</v>
      </c>
      <c r="B88" s="98">
        <v>53.175</v>
      </c>
      <c r="C88" s="123"/>
      <c r="D88" s="123"/>
      <c r="E88" s="123">
        <v>274</v>
      </c>
      <c r="F88" s="123">
        <v>764</v>
      </c>
      <c r="G88" s="123">
        <v>467</v>
      </c>
      <c r="H88" s="123">
        <v>537</v>
      </c>
      <c r="I88" s="123">
        <v>428</v>
      </c>
      <c r="J88" s="109">
        <v>1563</v>
      </c>
      <c r="K88" s="104">
        <f t="shared" si="4"/>
        <v>2679.4285714285716</v>
      </c>
      <c r="L88" s="123">
        <v>500</v>
      </c>
      <c r="M88" s="123">
        <v>500</v>
      </c>
      <c r="N88" s="123">
        <v>500</v>
      </c>
      <c r="O88" s="123">
        <v>500</v>
      </c>
      <c r="P88" s="127">
        <f t="shared" si="6"/>
        <v>0</v>
      </c>
    </row>
    <row r="89" spans="1:15" ht="11.25" hidden="1">
      <c r="A89" s="112" t="s">
        <v>149</v>
      </c>
      <c r="B89" s="98">
        <v>53.172</v>
      </c>
      <c r="C89" s="123"/>
      <c r="D89" s="123">
        <v>2093</v>
      </c>
      <c r="E89" s="123"/>
      <c r="F89" s="123"/>
      <c r="G89" s="123"/>
      <c r="H89" s="123"/>
      <c r="I89" s="123"/>
      <c r="J89" s="123"/>
      <c r="K89" s="104">
        <f t="shared" si="4"/>
        <v>0</v>
      </c>
      <c r="L89" s="123"/>
      <c r="M89" s="123"/>
      <c r="N89" s="123"/>
      <c r="O89" s="123"/>
    </row>
    <row r="90" spans="1:15" ht="0.75" customHeight="1" hidden="1">
      <c r="A90" s="112" t="s">
        <v>57</v>
      </c>
      <c r="B90" s="98">
        <v>53.179</v>
      </c>
      <c r="C90" s="123">
        <v>130</v>
      </c>
      <c r="D90" s="123"/>
      <c r="E90" s="123"/>
      <c r="F90" s="123"/>
      <c r="G90" s="123"/>
      <c r="H90" s="123"/>
      <c r="I90" s="123"/>
      <c r="J90" s="123"/>
      <c r="K90" s="104">
        <f t="shared" si="4"/>
        <v>0</v>
      </c>
      <c r="L90" s="123"/>
      <c r="M90" s="123"/>
      <c r="N90" s="123"/>
      <c r="O90" s="123"/>
    </row>
    <row r="91" spans="1:15" ht="11.25" hidden="1">
      <c r="A91" s="112" t="s">
        <v>143</v>
      </c>
      <c r="B91" s="98"/>
      <c r="C91" s="104"/>
      <c r="D91" s="104"/>
      <c r="E91" s="104"/>
      <c r="F91" s="104"/>
      <c r="G91" s="104"/>
      <c r="H91" s="104"/>
      <c r="I91" s="104"/>
      <c r="J91" s="104"/>
      <c r="K91" s="104">
        <f t="shared" si="4"/>
        <v>0</v>
      </c>
      <c r="L91" s="104"/>
      <c r="M91" s="104"/>
      <c r="N91" s="104"/>
      <c r="O91" s="104"/>
    </row>
    <row r="92" spans="1:15" ht="11.25" hidden="1">
      <c r="A92" s="112" t="s">
        <v>144</v>
      </c>
      <c r="B92" s="98"/>
      <c r="C92" s="104"/>
      <c r="D92" s="104"/>
      <c r="E92" s="104"/>
      <c r="F92" s="104"/>
      <c r="G92" s="104"/>
      <c r="H92" s="104"/>
      <c r="I92" s="104"/>
      <c r="J92" s="104"/>
      <c r="K92" s="104">
        <f t="shared" si="4"/>
        <v>0</v>
      </c>
      <c r="L92" s="104"/>
      <c r="M92" s="104"/>
      <c r="N92" s="104"/>
      <c r="O92" s="104"/>
    </row>
    <row r="93" spans="1:17" ht="11.25">
      <c r="A93" s="112" t="s">
        <v>145</v>
      </c>
      <c r="B93" s="98">
        <v>54.2</v>
      </c>
      <c r="C93" s="104"/>
      <c r="D93" s="104">
        <v>820</v>
      </c>
      <c r="E93" s="104">
        <v>1252</v>
      </c>
      <c r="F93" s="104">
        <v>3052</v>
      </c>
      <c r="G93" s="104">
        <v>-192</v>
      </c>
      <c r="H93" s="104">
        <v>45097</v>
      </c>
      <c r="I93" s="104"/>
      <c r="J93" s="109">
        <v>2441</v>
      </c>
      <c r="K93" s="104">
        <v>2500</v>
      </c>
      <c r="L93" s="123">
        <v>10000</v>
      </c>
      <c r="M93" s="123">
        <v>20000</v>
      </c>
      <c r="N93" s="123">
        <v>20000</v>
      </c>
      <c r="O93" s="123">
        <v>20000</v>
      </c>
      <c r="Q93" s="99" t="s">
        <v>243</v>
      </c>
    </row>
    <row r="94" spans="1:15" ht="11.25">
      <c r="A94" s="112" t="s">
        <v>435</v>
      </c>
      <c r="B94" s="98"/>
      <c r="C94" s="104"/>
      <c r="D94" s="104"/>
      <c r="E94" s="104"/>
      <c r="F94" s="104"/>
      <c r="G94" s="104"/>
      <c r="H94" s="104"/>
      <c r="I94" s="104"/>
      <c r="J94" s="109">
        <v>418</v>
      </c>
      <c r="K94" s="104"/>
      <c r="L94" s="123"/>
      <c r="M94" s="123"/>
      <c r="N94" s="123"/>
      <c r="O94" s="123"/>
    </row>
    <row r="95" spans="1:15" ht="11.25">
      <c r="A95" s="112" t="s">
        <v>340</v>
      </c>
      <c r="B95" s="98"/>
      <c r="C95" s="104"/>
      <c r="D95" s="104"/>
      <c r="E95" s="104"/>
      <c r="F95" s="104"/>
      <c r="G95" s="104"/>
      <c r="H95" s="104"/>
      <c r="I95" s="104"/>
      <c r="J95" s="109"/>
      <c r="K95" s="104"/>
      <c r="L95" s="123"/>
      <c r="M95" s="123"/>
      <c r="N95" s="123"/>
      <c r="O95" s="123"/>
    </row>
    <row r="96" spans="1:15" ht="11.25">
      <c r="A96" s="112" t="s">
        <v>436</v>
      </c>
      <c r="B96" s="98"/>
      <c r="C96" s="104"/>
      <c r="D96" s="104"/>
      <c r="E96" s="104"/>
      <c r="F96" s="104"/>
      <c r="G96" s="104"/>
      <c r="H96" s="104"/>
      <c r="I96" s="104"/>
      <c r="J96" s="109">
        <v>95</v>
      </c>
      <c r="K96" s="104"/>
      <c r="L96" s="123"/>
      <c r="M96" s="123"/>
      <c r="N96" s="123"/>
      <c r="O96" s="123"/>
    </row>
    <row r="97" spans="1:15" ht="11.25">
      <c r="A97" s="112" t="s">
        <v>397</v>
      </c>
      <c r="B97" s="98"/>
      <c r="C97" s="104"/>
      <c r="D97" s="104"/>
      <c r="E97" s="104"/>
      <c r="F97" s="104"/>
      <c r="G97" s="104"/>
      <c r="H97" s="104"/>
      <c r="I97" s="104"/>
      <c r="J97" s="109">
        <v>27725</v>
      </c>
      <c r="K97" s="104">
        <v>28000</v>
      </c>
      <c r="L97" s="123">
        <v>16000</v>
      </c>
      <c r="M97" s="123"/>
      <c r="N97" s="123"/>
      <c r="O97" s="123"/>
    </row>
    <row r="98" spans="1:15" ht="11.25">
      <c r="A98" s="112" t="s">
        <v>150</v>
      </c>
      <c r="B98" s="98">
        <v>54.24</v>
      </c>
      <c r="C98" s="104"/>
      <c r="D98" s="104">
        <v>29879</v>
      </c>
      <c r="E98" s="104">
        <v>409</v>
      </c>
      <c r="F98" s="104"/>
      <c r="G98" s="104"/>
      <c r="H98" s="104"/>
      <c r="I98" s="104">
        <v>58</v>
      </c>
      <c r="J98" s="109"/>
      <c r="K98" s="104"/>
      <c r="L98" s="123"/>
      <c r="M98" s="123"/>
      <c r="N98" s="123"/>
      <c r="O98" s="123"/>
    </row>
    <row r="99" spans="1:15" ht="11.25">
      <c r="A99" s="112"/>
      <c r="B99" s="98">
        <v>54.241</v>
      </c>
      <c r="C99" s="104"/>
      <c r="D99" s="104"/>
      <c r="E99" s="104">
        <v>7955</v>
      </c>
      <c r="F99" s="104"/>
      <c r="G99" s="104"/>
      <c r="H99" s="104"/>
      <c r="I99" s="104">
        <v>24299</v>
      </c>
      <c r="J99" s="123"/>
      <c r="K99" s="104"/>
      <c r="L99" s="123"/>
      <c r="M99" s="123"/>
      <c r="N99" s="123"/>
      <c r="O99" s="123"/>
    </row>
    <row r="100" spans="1:15" ht="11.25">
      <c r="A100" s="112" t="s">
        <v>234</v>
      </c>
      <c r="B100" s="98">
        <v>54.25</v>
      </c>
      <c r="C100" s="104"/>
      <c r="D100" s="104"/>
      <c r="E100" s="104"/>
      <c r="F100" s="104"/>
      <c r="G100" s="104"/>
      <c r="H100" s="104"/>
      <c r="I100" s="104"/>
      <c r="J100" s="123">
        <v>5410</v>
      </c>
      <c r="K100" s="104"/>
      <c r="L100" s="123"/>
      <c r="M100" s="123"/>
      <c r="N100" s="123"/>
      <c r="O100" s="123"/>
    </row>
    <row r="101" spans="1:15" ht="11.25">
      <c r="A101" s="112" t="s">
        <v>146</v>
      </c>
      <c r="B101" s="98">
        <v>58.1</v>
      </c>
      <c r="C101" s="104"/>
      <c r="D101" s="104">
        <v>47266</v>
      </c>
      <c r="E101" s="104">
        <v>151887</v>
      </c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</row>
    <row r="102" spans="1:15" ht="11.25">
      <c r="A102" s="112" t="s">
        <v>32</v>
      </c>
      <c r="B102" s="98">
        <v>58.2</v>
      </c>
      <c r="C102" s="104"/>
      <c r="D102" s="104">
        <v>8608</v>
      </c>
      <c r="E102" s="104">
        <v>9008</v>
      </c>
      <c r="F102" s="104"/>
      <c r="G102" s="104"/>
      <c r="H102" s="104"/>
      <c r="I102" s="104"/>
      <c r="J102" s="123"/>
      <c r="K102" s="104"/>
      <c r="L102" s="123"/>
      <c r="M102" s="123"/>
      <c r="N102" s="123"/>
      <c r="O102" s="123"/>
    </row>
    <row r="103" spans="1:15" ht="11.25">
      <c r="A103" s="99" t="s">
        <v>274</v>
      </c>
      <c r="B103" s="98"/>
      <c r="C103" s="104"/>
      <c r="D103" s="104"/>
      <c r="E103" s="104">
        <v>35596</v>
      </c>
      <c r="F103" s="104">
        <v>-987</v>
      </c>
      <c r="G103" s="104">
        <v>470</v>
      </c>
      <c r="H103" s="104"/>
      <c r="I103" s="104">
        <v>231</v>
      </c>
      <c r="J103" s="123"/>
      <c r="K103" s="104"/>
      <c r="L103" s="123"/>
      <c r="M103" s="123"/>
      <c r="N103" s="123"/>
      <c r="O103" s="104"/>
    </row>
    <row r="104" spans="1:15" ht="12" thickBot="1">
      <c r="A104" s="111"/>
      <c r="B104" s="98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05"/>
    </row>
    <row r="105" spans="1:16" ht="11.25">
      <c r="A105" s="107" t="s">
        <v>26</v>
      </c>
      <c r="C105" s="114">
        <f>SUM(C54:C104)</f>
        <v>135580</v>
      </c>
      <c r="D105" s="114">
        <f>SUM(D54:D104)</f>
        <v>251311</v>
      </c>
      <c r="E105" s="114">
        <v>363275</v>
      </c>
      <c r="F105" s="114">
        <v>284021</v>
      </c>
      <c r="G105" s="114">
        <v>327485</v>
      </c>
      <c r="H105" s="114">
        <v>371178</v>
      </c>
      <c r="I105" s="114">
        <v>354260</v>
      </c>
      <c r="J105" s="114">
        <f aca="true" t="shared" si="7" ref="J105:O105">SUM(J54:J104)</f>
        <v>268567</v>
      </c>
      <c r="K105" s="114">
        <f t="shared" si="7"/>
        <v>435104.00000000006</v>
      </c>
      <c r="L105" s="114">
        <f t="shared" si="7"/>
        <v>402525.57098</v>
      </c>
      <c r="M105" s="114">
        <f t="shared" si="7"/>
        <v>489099.84859999997</v>
      </c>
      <c r="N105" s="114">
        <f t="shared" si="7"/>
        <v>462078.418</v>
      </c>
      <c r="O105" s="114">
        <f t="shared" si="7"/>
        <v>462078.418</v>
      </c>
      <c r="P105" s="127">
        <f>(O105-L105)/L105</f>
        <v>0.1479479847081788</v>
      </c>
    </row>
    <row r="106" spans="1:15" ht="11.25">
      <c r="A106" s="107"/>
      <c r="C106" s="124"/>
      <c r="D106" s="123"/>
      <c r="E106" s="123"/>
      <c r="F106" s="123"/>
      <c r="G106" s="123"/>
      <c r="H106" s="123"/>
      <c r="I106" s="123"/>
      <c r="J106" s="123"/>
      <c r="K106" s="125"/>
      <c r="L106" s="123"/>
      <c r="M106" s="123"/>
      <c r="N106" s="101"/>
      <c r="O106" s="104"/>
    </row>
    <row r="107" spans="1:15" ht="11.25">
      <c r="A107" s="140" t="s">
        <v>273</v>
      </c>
      <c r="C107" s="115">
        <v>-86605</v>
      </c>
      <c r="D107" s="115"/>
      <c r="E107" s="115">
        <v>-32608</v>
      </c>
      <c r="F107" s="115">
        <v>6648</v>
      </c>
      <c r="G107" s="115">
        <v>22284</v>
      </c>
      <c r="H107" s="115">
        <v>43888</v>
      </c>
      <c r="I107" s="115">
        <v>84432</v>
      </c>
      <c r="J107" s="115">
        <f aca="true" t="shared" si="8" ref="J107:O107">J51-J105</f>
        <v>-26952</v>
      </c>
      <c r="K107" s="115">
        <f t="shared" si="8"/>
        <v>-1888.0000000001164</v>
      </c>
      <c r="L107" s="115">
        <f t="shared" si="8"/>
        <v>-43225.57098000002</v>
      </c>
      <c r="M107" s="115">
        <f t="shared" si="8"/>
        <v>-47724.84859999997</v>
      </c>
      <c r="N107" s="115">
        <f t="shared" si="8"/>
        <v>-20703.418000000005</v>
      </c>
      <c r="O107" s="115">
        <f t="shared" si="8"/>
        <v>-20703.418000000005</v>
      </c>
    </row>
    <row r="110" spans="1:19" s="13" customFormat="1" ht="11.25">
      <c r="A110" s="177" t="s">
        <v>420</v>
      </c>
      <c r="G110" s="122">
        <v>284841</v>
      </c>
      <c r="H110" s="178"/>
      <c r="I110" s="127"/>
      <c r="P110" s="127"/>
      <c r="S110" s="104"/>
    </row>
    <row r="111" spans="1:19" s="13" customFormat="1" ht="11.25">
      <c r="A111" s="177" t="s">
        <v>421</v>
      </c>
      <c r="G111" s="122">
        <v>198236</v>
      </c>
      <c r="H111" s="178">
        <v>-86605</v>
      </c>
      <c r="I111" s="127">
        <v>-0.436878266308844</v>
      </c>
      <c r="P111" s="127"/>
      <c r="S111" s="104"/>
    </row>
    <row r="112" spans="1:19" s="13" customFormat="1" ht="11.25">
      <c r="A112" s="177" t="s">
        <v>422</v>
      </c>
      <c r="G112" s="122">
        <v>461137</v>
      </c>
      <c r="H112" s="178">
        <v>262901</v>
      </c>
      <c r="I112" s="127">
        <v>0.570114738136389</v>
      </c>
      <c r="P112" s="127"/>
      <c r="S112" s="104"/>
    </row>
    <row r="113" spans="1:19" s="13" customFormat="1" ht="11.25">
      <c r="A113" s="177" t="s">
        <v>423</v>
      </c>
      <c r="G113" s="138">
        <v>428529</v>
      </c>
      <c r="H113" s="178">
        <v>-32608</v>
      </c>
      <c r="I113" s="127">
        <v>-0.07609286652711952</v>
      </c>
      <c r="P113" s="127"/>
      <c r="S113" s="104"/>
    </row>
    <row r="114" spans="1:19" s="13" customFormat="1" ht="11.25">
      <c r="A114" s="177" t="s">
        <v>281</v>
      </c>
      <c r="G114" s="138">
        <v>435177</v>
      </c>
      <c r="H114" s="178">
        <v>6648</v>
      </c>
      <c r="I114" s="127">
        <v>0.015276542648163851</v>
      </c>
      <c r="P114" s="127"/>
      <c r="S114" s="104"/>
    </row>
    <row r="115" spans="1:19" s="13" customFormat="1" ht="11.25">
      <c r="A115" s="177" t="s">
        <v>320</v>
      </c>
      <c r="G115" s="138">
        <v>457461</v>
      </c>
      <c r="H115" s="178">
        <v>22284</v>
      </c>
      <c r="I115" s="127">
        <v>0.04871234924944422</v>
      </c>
      <c r="J115" s="109"/>
      <c r="P115" s="127"/>
      <c r="S115" s="104"/>
    </row>
    <row r="116" spans="1:19" s="13" customFormat="1" ht="11.25">
      <c r="A116" s="177" t="s">
        <v>363</v>
      </c>
      <c r="G116" s="138">
        <v>501349</v>
      </c>
      <c r="H116" s="178">
        <v>43888</v>
      </c>
      <c r="I116" s="127">
        <v>0.08753981757219023</v>
      </c>
      <c r="P116" s="127"/>
      <c r="S116" s="104"/>
    </row>
    <row r="117" spans="1:19" s="13" customFormat="1" ht="11.25">
      <c r="A117" s="177" t="s">
        <v>429</v>
      </c>
      <c r="G117" s="138">
        <v>585781</v>
      </c>
      <c r="H117" s="178">
        <v>84432</v>
      </c>
      <c r="I117" s="127">
        <v>0.1441357777053199</v>
      </c>
      <c r="P117" s="127"/>
      <c r="S117" s="104"/>
    </row>
    <row r="118" spans="1:19" s="13" customFormat="1" ht="11.25">
      <c r="A118" s="177" t="s">
        <v>356</v>
      </c>
      <c r="G118" s="138">
        <f>G117+K107</f>
        <v>583892.9999999999</v>
      </c>
      <c r="H118" s="178">
        <f>G118-G117</f>
        <v>-1888.0000000001164</v>
      </c>
      <c r="I118" s="127">
        <f>H118/G118</f>
        <v>-0.003233469145888231</v>
      </c>
      <c r="J118" s="13" t="s">
        <v>453</v>
      </c>
      <c r="P118" s="127"/>
      <c r="S118" s="104"/>
    </row>
    <row r="119" spans="1:19" s="13" customFormat="1" ht="11.25">
      <c r="A119" s="177" t="s">
        <v>359</v>
      </c>
      <c r="G119" s="138">
        <f>G118+O107</f>
        <v>563189.5819999999</v>
      </c>
      <c r="H119" s="178">
        <f>G119-G118</f>
        <v>-20703.417999999947</v>
      </c>
      <c r="I119" s="127">
        <f>H119/G119</f>
        <v>-0.036761010256045445</v>
      </c>
      <c r="J119" s="13" t="s">
        <v>454</v>
      </c>
      <c r="P119" s="127"/>
      <c r="S119" s="104"/>
    </row>
    <row r="120" spans="16:19" s="13" customFormat="1" ht="11.25">
      <c r="P120" s="127"/>
      <c r="S120" s="104"/>
    </row>
    <row r="121" spans="1:19" s="13" customFormat="1" ht="11.25">
      <c r="A121" s="141" t="s">
        <v>382</v>
      </c>
      <c r="P121" s="127"/>
      <c r="S121" s="104"/>
    </row>
    <row r="122" spans="1:19" s="13" customFormat="1" ht="11.25">
      <c r="A122" s="99" t="s">
        <v>449</v>
      </c>
      <c r="D122" s="140"/>
      <c r="P122" s="127"/>
      <c r="S122" s="104"/>
    </row>
    <row r="123" spans="1:19" s="13" customFormat="1" ht="11.25">
      <c r="A123" s="13" t="s">
        <v>450</v>
      </c>
      <c r="P123" s="127"/>
      <c r="S123" s="104"/>
    </row>
    <row r="124" spans="16:19" s="13" customFormat="1" ht="11.25">
      <c r="P124" s="127"/>
      <c r="S124" s="104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70" r:id="rId1"/>
  <headerFooter alignWithMargins="0">
    <oddHeader>&amp;CFY09 Special Revenue Funds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="75" zoomScaleNormal="75" workbookViewId="0" topLeftCell="A1">
      <selection activeCell="H39" sqref="H39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3.7109375" style="0" hidden="1" customWidth="1"/>
    <col min="4" max="6" width="10.8515625" style="0" hidden="1" customWidth="1"/>
    <col min="7" max="7" width="12.00390625" style="0" hidden="1" customWidth="1"/>
    <col min="8" max="8" width="10.8515625" style="0" bestFit="1" customWidth="1"/>
    <col min="9" max="10" width="9.421875" style="0" customWidth="1"/>
    <col min="12" max="12" width="9.8515625" style="0" bestFit="1" customWidth="1"/>
    <col min="13" max="13" width="10.7109375" style="0" customWidth="1"/>
    <col min="14" max="14" width="10.140625" style="0" customWidth="1"/>
    <col min="15" max="15" width="11.421875" style="0" customWidth="1"/>
    <col min="17" max="17" width="9.421875" style="24" customWidth="1"/>
    <col min="18" max="18" width="10.7109375" style="0" customWidth="1"/>
  </cols>
  <sheetData>
    <row r="1" spans="1:17" ht="12.75">
      <c r="A1" t="s">
        <v>0</v>
      </c>
      <c r="Q1" s="17"/>
    </row>
    <row r="2" spans="1:17" ht="12.75">
      <c r="A2" t="s">
        <v>195</v>
      </c>
      <c r="C2" s="87"/>
      <c r="D2" s="87"/>
      <c r="E2" s="87"/>
      <c r="F2" s="87"/>
      <c r="G2" s="87"/>
      <c r="H2" s="87"/>
      <c r="I2" s="87"/>
      <c r="J2" s="87"/>
      <c r="K2" s="88">
        <v>6</v>
      </c>
      <c r="L2" s="89"/>
      <c r="M2" s="87"/>
      <c r="N2" s="87"/>
      <c r="O2" s="87"/>
      <c r="P2" s="87"/>
      <c r="Q2" s="17"/>
    </row>
    <row r="3" spans="1:17" ht="12.75">
      <c r="A3" s="1" t="s">
        <v>196</v>
      </c>
      <c r="C3" s="90"/>
      <c r="D3" s="90"/>
      <c r="E3" s="90"/>
      <c r="F3" s="90"/>
      <c r="G3" s="90"/>
      <c r="H3" s="90"/>
      <c r="I3" s="90"/>
      <c r="J3" s="90"/>
      <c r="K3" s="89" t="s">
        <v>2</v>
      </c>
      <c r="L3" s="89"/>
      <c r="M3" s="90"/>
      <c r="N3" s="91" t="s">
        <v>3</v>
      </c>
      <c r="O3" s="91" t="s">
        <v>4</v>
      </c>
      <c r="P3" s="91" t="s">
        <v>5</v>
      </c>
      <c r="Q3" s="26" t="s">
        <v>84</v>
      </c>
    </row>
    <row r="4" spans="3:17" ht="12.75">
      <c r="C4" s="90" t="s">
        <v>6</v>
      </c>
      <c r="D4" s="90" t="s">
        <v>6</v>
      </c>
      <c r="E4" s="90" t="s">
        <v>6</v>
      </c>
      <c r="F4" s="90" t="s">
        <v>6</v>
      </c>
      <c r="G4" s="90" t="s">
        <v>6</v>
      </c>
      <c r="H4" s="90" t="s">
        <v>6</v>
      </c>
      <c r="I4" s="90" t="s">
        <v>6</v>
      </c>
      <c r="J4" s="90" t="s">
        <v>6</v>
      </c>
      <c r="K4" s="90" t="s">
        <v>6</v>
      </c>
      <c r="L4" s="90" t="s">
        <v>105</v>
      </c>
      <c r="M4" s="90" t="s">
        <v>8</v>
      </c>
      <c r="N4" s="91" t="s">
        <v>9</v>
      </c>
      <c r="O4" s="91" t="s">
        <v>10</v>
      </c>
      <c r="P4" s="91" t="s">
        <v>11</v>
      </c>
      <c r="Q4" s="26" t="s">
        <v>85</v>
      </c>
    </row>
    <row r="5" spans="1:18" ht="13.5" thickBot="1">
      <c r="A5" t="s">
        <v>12</v>
      </c>
      <c r="C5" s="6">
        <v>2000</v>
      </c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J5" s="6">
        <v>2007</v>
      </c>
      <c r="K5" s="145">
        <v>2008</v>
      </c>
      <c r="L5" s="145">
        <v>2008</v>
      </c>
      <c r="M5" s="145">
        <v>2008</v>
      </c>
      <c r="N5" s="145">
        <v>2009</v>
      </c>
      <c r="O5" s="145">
        <v>2009</v>
      </c>
      <c r="P5" s="145">
        <v>2009</v>
      </c>
      <c r="Q5" s="19" t="s">
        <v>406</v>
      </c>
      <c r="R5" s="7" t="s">
        <v>13</v>
      </c>
    </row>
    <row r="6" spans="2:17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N6" s="10"/>
      <c r="O6" s="10"/>
      <c r="P6" s="10"/>
      <c r="Q6" s="62"/>
    </row>
    <row r="7" spans="1:17" ht="12.75">
      <c r="A7" s="1" t="s">
        <v>31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N7" s="10"/>
      <c r="O7" s="10"/>
      <c r="P7" s="10"/>
      <c r="Q7" s="96"/>
    </row>
    <row r="8" spans="1:17" ht="12.75">
      <c r="A8" s="11" t="s">
        <v>194</v>
      </c>
      <c r="B8" s="9">
        <v>39.35</v>
      </c>
      <c r="C8" s="10">
        <v>13631</v>
      </c>
      <c r="D8" s="10">
        <v>190840</v>
      </c>
      <c r="E8" s="10">
        <v>163577</v>
      </c>
      <c r="F8" s="10">
        <v>163577</v>
      </c>
      <c r="G8" s="10">
        <v>163577</v>
      </c>
      <c r="H8" s="10">
        <v>163577</v>
      </c>
      <c r="I8" s="10">
        <v>163577</v>
      </c>
      <c r="J8" s="10">
        <v>163577</v>
      </c>
      <c r="K8" s="10">
        <v>81789</v>
      </c>
      <c r="L8" s="10">
        <v>163577</v>
      </c>
      <c r="M8" s="85">
        <v>163577</v>
      </c>
      <c r="N8" s="10">
        <v>163577</v>
      </c>
      <c r="O8" s="85">
        <v>163577</v>
      </c>
      <c r="P8" s="85">
        <v>163577</v>
      </c>
      <c r="Q8" s="96">
        <f aca="true" t="shared" si="0" ref="Q8:Q21">(P8-M8)/M8</f>
        <v>0</v>
      </c>
    </row>
    <row r="9" spans="1:17" ht="12.75">
      <c r="A9" s="11" t="s">
        <v>197</v>
      </c>
      <c r="B9" s="9">
        <v>38.11</v>
      </c>
      <c r="C9" s="10">
        <v>2588</v>
      </c>
      <c r="D9" s="10">
        <v>7172</v>
      </c>
      <c r="E9" s="10">
        <v>6212</v>
      </c>
      <c r="F9" s="10">
        <v>6212</v>
      </c>
      <c r="G9" s="10">
        <v>6212</v>
      </c>
      <c r="H9" s="10">
        <v>6212</v>
      </c>
      <c r="I9" s="10">
        <v>6212</v>
      </c>
      <c r="J9" s="10">
        <v>6212</v>
      </c>
      <c r="K9" s="10">
        <v>3106</v>
      </c>
      <c r="L9" s="10">
        <v>6212</v>
      </c>
      <c r="M9" s="85">
        <v>6212</v>
      </c>
      <c r="N9" s="10">
        <v>6212</v>
      </c>
      <c r="O9" s="85">
        <v>6212</v>
      </c>
      <c r="P9" s="85">
        <v>6212</v>
      </c>
      <c r="Q9" s="96">
        <f t="shared" si="0"/>
        <v>0</v>
      </c>
    </row>
    <row r="10" spans="1:17" ht="12.75">
      <c r="A10" s="11" t="s">
        <v>32</v>
      </c>
      <c r="B10" s="9">
        <v>36.1</v>
      </c>
      <c r="C10" s="92"/>
      <c r="D10" s="92"/>
      <c r="E10" s="92">
        <v>207</v>
      </c>
      <c r="F10" s="92">
        <v>231</v>
      </c>
      <c r="G10" s="92">
        <v>189</v>
      </c>
      <c r="H10" s="92">
        <v>116</v>
      </c>
      <c r="I10" s="92">
        <v>1102</v>
      </c>
      <c r="J10" s="92">
        <v>991</v>
      </c>
      <c r="K10" s="92">
        <v>335</v>
      </c>
      <c r="L10" s="92">
        <f>+K10/$K$2*12</f>
        <v>670</v>
      </c>
      <c r="M10" s="93">
        <v>800</v>
      </c>
      <c r="N10" s="92">
        <v>800</v>
      </c>
      <c r="O10" s="93">
        <v>800</v>
      </c>
      <c r="P10" s="93">
        <v>800</v>
      </c>
      <c r="Q10" s="96">
        <f t="shared" si="0"/>
        <v>0</v>
      </c>
    </row>
    <row r="11" spans="1:17" ht="12.75">
      <c r="A11" s="94" t="s">
        <v>19</v>
      </c>
      <c r="B11" s="9"/>
      <c r="C11" s="128">
        <f aca="true" t="shared" si="1" ref="C11:P11">SUM(C8:C10)</f>
        <v>16219</v>
      </c>
      <c r="D11" s="128">
        <f t="shared" si="1"/>
        <v>198012</v>
      </c>
      <c r="E11" s="128">
        <f t="shared" si="1"/>
        <v>169996</v>
      </c>
      <c r="F11" s="128">
        <v>170020</v>
      </c>
      <c r="G11" s="128">
        <v>169978</v>
      </c>
      <c r="H11" s="128">
        <v>169915</v>
      </c>
      <c r="I11" s="128">
        <v>169909</v>
      </c>
      <c r="J11" s="128">
        <v>170780</v>
      </c>
      <c r="K11" s="128">
        <f t="shared" si="1"/>
        <v>85230</v>
      </c>
      <c r="L11" s="128">
        <f t="shared" si="1"/>
        <v>170459</v>
      </c>
      <c r="M11" s="128">
        <f t="shared" si="1"/>
        <v>170589</v>
      </c>
      <c r="N11" s="128">
        <f t="shared" si="1"/>
        <v>170589</v>
      </c>
      <c r="O11" s="128">
        <f t="shared" si="1"/>
        <v>170589</v>
      </c>
      <c r="P11" s="128">
        <f t="shared" si="1"/>
        <v>170589</v>
      </c>
      <c r="Q11" s="96">
        <f t="shared" si="0"/>
        <v>0</v>
      </c>
    </row>
    <row r="12" spans="2:17" ht="12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85"/>
      <c r="P12" s="10"/>
      <c r="Q12" s="96"/>
    </row>
    <row r="13" spans="1:17" ht="12.75">
      <c r="A13" s="1" t="s">
        <v>97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85"/>
      <c r="P13" s="10"/>
      <c r="Q13" s="96"/>
    </row>
    <row r="14" spans="1:17" ht="12.75">
      <c r="A14" s="11" t="s">
        <v>198</v>
      </c>
      <c r="B14" s="9">
        <v>58.12</v>
      </c>
      <c r="C14" s="10">
        <v>54525</v>
      </c>
      <c r="D14" s="10">
        <v>163577</v>
      </c>
      <c r="E14" s="10">
        <v>163577</v>
      </c>
      <c r="F14" s="10">
        <v>163545</v>
      </c>
      <c r="G14" s="10">
        <v>92535</v>
      </c>
      <c r="H14" s="10">
        <v>96829</v>
      </c>
      <c r="I14" s="10">
        <v>102214</v>
      </c>
      <c r="J14" s="10">
        <v>107899</v>
      </c>
      <c r="K14" s="10">
        <v>56240</v>
      </c>
      <c r="L14" s="10">
        <f>K14*2</f>
        <v>112480</v>
      </c>
      <c r="M14" s="85">
        <v>107000</v>
      </c>
      <c r="N14" s="85">
        <v>118000</v>
      </c>
      <c r="O14" s="85">
        <v>118000</v>
      </c>
      <c r="P14" s="85">
        <v>118000</v>
      </c>
      <c r="Q14" s="96">
        <f t="shared" si="0"/>
        <v>0.102803738317757</v>
      </c>
    </row>
    <row r="15" spans="1:17" ht="12.75">
      <c r="A15" s="11" t="s">
        <v>249</v>
      </c>
      <c r="B15" s="9">
        <v>58.22</v>
      </c>
      <c r="C15" s="10"/>
      <c r="D15" s="10"/>
      <c r="E15" s="10"/>
      <c r="F15" s="10"/>
      <c r="G15" s="10">
        <v>71042</v>
      </c>
      <c r="H15" s="10">
        <v>66748</v>
      </c>
      <c r="I15" s="10">
        <v>61363</v>
      </c>
      <c r="J15" s="10">
        <v>55679</v>
      </c>
      <c r="K15" s="10">
        <v>25548</v>
      </c>
      <c r="L15" s="10">
        <f>K15*2</f>
        <v>51096</v>
      </c>
      <c r="M15" s="85">
        <v>55000</v>
      </c>
      <c r="N15" s="85">
        <v>46000</v>
      </c>
      <c r="O15" s="85">
        <v>46000</v>
      </c>
      <c r="P15" s="85">
        <v>46000</v>
      </c>
      <c r="Q15" s="96"/>
    </row>
    <row r="16" spans="1:17" ht="12.75">
      <c r="A16" s="11" t="s">
        <v>99</v>
      </c>
      <c r="B16" s="9">
        <v>52.22</v>
      </c>
      <c r="C16" s="10"/>
      <c r="D16" s="10">
        <v>75</v>
      </c>
      <c r="E16" s="10">
        <v>785</v>
      </c>
      <c r="F16" s="10">
        <v>2356</v>
      </c>
      <c r="G16" s="10">
        <v>1545</v>
      </c>
      <c r="H16" s="10">
        <v>368</v>
      </c>
      <c r="I16" s="10">
        <v>1394</v>
      </c>
      <c r="J16" s="10">
        <v>5004</v>
      </c>
      <c r="K16" s="10">
        <v>2090</v>
      </c>
      <c r="L16" s="10">
        <f>+K16/$K$2*12</f>
        <v>4180</v>
      </c>
      <c r="M16" s="85">
        <v>2000</v>
      </c>
      <c r="N16" s="85">
        <v>5000</v>
      </c>
      <c r="O16" s="85">
        <v>5000</v>
      </c>
      <c r="P16" s="85">
        <v>5000</v>
      </c>
      <c r="Q16" s="96">
        <f t="shared" si="0"/>
        <v>1.5</v>
      </c>
    </row>
    <row r="17" spans="1:17" ht="12.75">
      <c r="A17" s="11" t="s">
        <v>299</v>
      </c>
      <c r="B17" s="9">
        <v>52.2205</v>
      </c>
      <c r="C17" s="10"/>
      <c r="D17" s="10"/>
      <c r="E17" s="10">
        <v>275</v>
      </c>
      <c r="F17" s="10"/>
      <c r="G17" s="10">
        <v>550</v>
      </c>
      <c r="H17" s="10">
        <v>660</v>
      </c>
      <c r="I17" s="10">
        <v>605</v>
      </c>
      <c r="J17" s="10">
        <v>715</v>
      </c>
      <c r="K17" s="10"/>
      <c r="L17" s="10">
        <v>600</v>
      </c>
      <c r="M17" s="85">
        <v>600</v>
      </c>
      <c r="N17" s="85">
        <v>600</v>
      </c>
      <c r="O17" s="85">
        <v>600</v>
      </c>
      <c r="P17" s="85">
        <v>600</v>
      </c>
      <c r="Q17" s="96">
        <f t="shared" si="0"/>
        <v>0</v>
      </c>
    </row>
    <row r="18" spans="1:17" ht="12.75">
      <c r="A18" s="11" t="s">
        <v>338</v>
      </c>
      <c r="B18" s="9">
        <v>52.2202</v>
      </c>
      <c r="C18" s="10"/>
      <c r="D18" s="10"/>
      <c r="E18" s="10"/>
      <c r="F18" s="10"/>
      <c r="G18" s="10"/>
      <c r="H18" s="10"/>
      <c r="I18" s="10">
        <v>6108</v>
      </c>
      <c r="J18" s="10"/>
      <c r="K18" s="10"/>
      <c r="L18" s="10"/>
      <c r="M18" s="85"/>
      <c r="N18" s="85"/>
      <c r="O18" s="85"/>
      <c r="P18" s="85"/>
      <c r="Q18" s="96"/>
    </row>
    <row r="19" spans="1:17" ht="12.75">
      <c r="A19" s="11" t="s">
        <v>199</v>
      </c>
      <c r="B19" s="9">
        <v>52.2201</v>
      </c>
      <c r="C19" s="10"/>
      <c r="D19" s="10"/>
      <c r="E19" s="10">
        <v>440</v>
      </c>
      <c r="F19" s="10"/>
      <c r="G19" s="10">
        <v>1280</v>
      </c>
      <c r="H19" s="10">
        <v>3668</v>
      </c>
      <c r="I19" s="10">
        <v>1732</v>
      </c>
      <c r="J19" s="10">
        <v>1362</v>
      </c>
      <c r="K19" s="10">
        <v>5074</v>
      </c>
      <c r="L19" s="10">
        <f>+K19/$K$2*12</f>
        <v>10148</v>
      </c>
      <c r="M19" s="85">
        <v>1500</v>
      </c>
      <c r="N19" s="85">
        <v>1500</v>
      </c>
      <c r="O19" s="85">
        <v>1500</v>
      </c>
      <c r="P19" s="85">
        <v>1500</v>
      </c>
      <c r="Q19" s="96">
        <f t="shared" si="0"/>
        <v>0</v>
      </c>
    </row>
    <row r="20" spans="1:17" ht="12.75">
      <c r="A20" s="11"/>
      <c r="B20" s="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93"/>
      <c r="Q20" s="96"/>
    </row>
    <row r="21" spans="1:17" ht="12.75">
      <c r="A21" s="94" t="s">
        <v>103</v>
      </c>
      <c r="B21" s="9"/>
      <c r="C21" s="128">
        <f aca="true" t="shared" si="2" ref="C21:P21">SUM(C14:C20)</f>
        <v>54525</v>
      </c>
      <c r="D21" s="128">
        <f t="shared" si="2"/>
        <v>163652</v>
      </c>
      <c r="E21" s="128">
        <f t="shared" si="2"/>
        <v>165077</v>
      </c>
      <c r="F21" s="128">
        <v>165901</v>
      </c>
      <c r="G21" s="128">
        <v>166952</v>
      </c>
      <c r="H21" s="128">
        <v>168273</v>
      </c>
      <c r="I21" s="128">
        <v>173416</v>
      </c>
      <c r="J21" s="128">
        <v>170659</v>
      </c>
      <c r="K21" s="128">
        <f t="shared" si="2"/>
        <v>88952</v>
      </c>
      <c r="L21" s="128">
        <f t="shared" si="2"/>
        <v>178504</v>
      </c>
      <c r="M21" s="128">
        <f t="shared" si="2"/>
        <v>166100</v>
      </c>
      <c r="N21" s="128">
        <f t="shared" si="2"/>
        <v>171100</v>
      </c>
      <c r="O21" s="128">
        <f t="shared" si="2"/>
        <v>171100</v>
      </c>
      <c r="P21" s="128">
        <f t="shared" si="2"/>
        <v>171100</v>
      </c>
      <c r="Q21" s="96">
        <f t="shared" si="0"/>
        <v>0.030102347983142687</v>
      </c>
    </row>
    <row r="22" spans="1:17" ht="12.75">
      <c r="A22" s="94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5"/>
      <c r="P22" s="10"/>
      <c r="Q22" s="96"/>
    </row>
    <row r="23" spans="6:17" ht="12.75">
      <c r="F23" s="128"/>
      <c r="G23" s="128"/>
      <c r="H23" s="128"/>
      <c r="I23" s="128"/>
      <c r="J23" s="128"/>
      <c r="K23" s="10"/>
      <c r="L23" s="10"/>
      <c r="M23" s="14" t="s">
        <v>27</v>
      </c>
      <c r="N23" s="14"/>
      <c r="O23" s="15">
        <f>O21-N21</f>
        <v>0</v>
      </c>
      <c r="P23" s="10"/>
      <c r="Q23" s="96"/>
    </row>
    <row r="24" spans="2:17" ht="12.75">
      <c r="B24" s="9"/>
      <c r="M24" s="17" t="s">
        <v>342</v>
      </c>
      <c r="N24" s="14"/>
      <c r="O24" s="15">
        <f>M21-O21</f>
        <v>-5000</v>
      </c>
      <c r="P24" s="86"/>
      <c r="Q24" s="62"/>
    </row>
    <row r="25" spans="13:17" ht="12.75">
      <c r="M25" s="14" t="s">
        <v>28</v>
      </c>
      <c r="N25" s="14"/>
      <c r="O25" s="15">
        <f>O21-P21</f>
        <v>0</v>
      </c>
      <c r="Q25" s="62"/>
    </row>
    <row r="26" spans="13:17" ht="12.75">
      <c r="M26" s="14"/>
      <c r="N26" s="14"/>
      <c r="O26" s="15"/>
      <c r="Q26" s="62"/>
    </row>
    <row r="27" spans="1:17" s="99" customFormat="1" ht="11.25">
      <c r="A27" s="140" t="s">
        <v>273</v>
      </c>
      <c r="B27" s="100"/>
      <c r="C27" s="115">
        <v>-86605</v>
      </c>
      <c r="D27" s="115"/>
      <c r="E27" s="115">
        <f>E11-E21</f>
        <v>4919</v>
      </c>
      <c r="F27" s="115">
        <v>4119</v>
      </c>
      <c r="G27" s="115">
        <v>3026</v>
      </c>
      <c r="H27" s="115">
        <v>1642</v>
      </c>
      <c r="I27" s="115">
        <v>-3507</v>
      </c>
      <c r="J27" s="115">
        <v>121</v>
      </c>
      <c r="K27" s="115">
        <f aca="true" t="shared" si="3" ref="K27:P27">K11-K21</f>
        <v>-3722</v>
      </c>
      <c r="L27" s="115">
        <f t="shared" si="3"/>
        <v>-8045</v>
      </c>
      <c r="M27" s="115">
        <f t="shared" si="3"/>
        <v>4489</v>
      </c>
      <c r="N27" s="115">
        <f t="shared" si="3"/>
        <v>-511</v>
      </c>
      <c r="O27" s="115">
        <f t="shared" si="3"/>
        <v>-511</v>
      </c>
      <c r="P27" s="115">
        <f t="shared" si="3"/>
        <v>-511</v>
      </c>
      <c r="Q27" s="127"/>
    </row>
    <row r="28" spans="1:17" s="99" customFormat="1" ht="11.25">
      <c r="A28" s="140"/>
      <c r="B28" s="100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27"/>
    </row>
    <row r="29" ht="12.75">
      <c r="Q29" s="62"/>
    </row>
    <row r="30" ht="12.75">
      <c r="Q30" s="58"/>
    </row>
    <row r="31" spans="1:17" ht="12.75">
      <c r="A31" s="69" t="s">
        <v>252</v>
      </c>
      <c r="B31" s="72"/>
      <c r="H31" s="95">
        <v>22485</v>
      </c>
      <c r="I31" s="157"/>
      <c r="J31" s="148"/>
      <c r="Q31" s="58"/>
    </row>
    <row r="32" spans="1:17" ht="12.75">
      <c r="A32" s="69" t="s">
        <v>251</v>
      </c>
      <c r="B32" s="71"/>
      <c r="H32" s="95">
        <v>27428</v>
      </c>
      <c r="I32" s="157">
        <v>4943</v>
      </c>
      <c r="J32" s="148">
        <v>0.1802172961936707</v>
      </c>
      <c r="Q32" s="58"/>
    </row>
    <row r="33" spans="1:17" ht="12.75">
      <c r="A33" s="69" t="s">
        <v>275</v>
      </c>
      <c r="H33" s="136">
        <v>31547</v>
      </c>
      <c r="I33" s="157">
        <v>4119</v>
      </c>
      <c r="J33" s="148">
        <v>0.1305670903730941</v>
      </c>
      <c r="Q33" s="58"/>
    </row>
    <row r="34" spans="1:17" ht="12.75">
      <c r="A34" s="69" t="s">
        <v>281</v>
      </c>
      <c r="H34" s="136">
        <v>34573</v>
      </c>
      <c r="I34" s="157">
        <v>3026</v>
      </c>
      <c r="J34" s="148">
        <v>0.0875249472131432</v>
      </c>
      <c r="Q34" s="58"/>
    </row>
    <row r="35" spans="1:17" ht="12.75">
      <c r="A35" s="69" t="s">
        <v>320</v>
      </c>
      <c r="H35" s="136">
        <v>36215</v>
      </c>
      <c r="I35" s="157">
        <v>1642</v>
      </c>
      <c r="J35" s="148">
        <v>0.045340328593124396</v>
      </c>
      <c r="Q35" s="58"/>
    </row>
    <row r="36" spans="1:17" ht="12.75">
      <c r="A36" s="69" t="s">
        <v>363</v>
      </c>
      <c r="H36" s="136">
        <v>32708</v>
      </c>
      <c r="I36" s="157">
        <v>-3507</v>
      </c>
      <c r="J36" s="148">
        <v>-0.10722147486853369</v>
      </c>
      <c r="Q36" s="58"/>
    </row>
    <row r="37" spans="1:17" ht="12.75">
      <c r="A37" s="69" t="s">
        <v>429</v>
      </c>
      <c r="H37" s="136">
        <v>32830</v>
      </c>
      <c r="I37" s="157">
        <v>122</v>
      </c>
      <c r="J37" s="148">
        <v>0.00371611331099604</v>
      </c>
      <c r="Q37" s="58"/>
    </row>
    <row r="38" spans="1:17" ht="12.75">
      <c r="A38" s="69" t="s">
        <v>356</v>
      </c>
      <c r="H38" s="136">
        <f>H37+M27</f>
        <v>37319</v>
      </c>
      <c r="I38" s="157">
        <f>H38-H37</f>
        <v>4489</v>
      </c>
      <c r="J38" s="148">
        <f>I38/H38</f>
        <v>0.12028725314183124</v>
      </c>
      <c r="Q38" s="58"/>
    </row>
    <row r="39" spans="1:17" ht="12.75">
      <c r="A39" s="69" t="s">
        <v>359</v>
      </c>
      <c r="H39" s="136">
        <f>H38+P27</f>
        <v>36808</v>
      </c>
      <c r="I39" s="157">
        <f>H39-H38</f>
        <v>-511</v>
      </c>
      <c r="J39" s="148">
        <f>I39/H39</f>
        <v>-0.013882851554009997</v>
      </c>
      <c r="Q39" s="58"/>
    </row>
    <row r="40" ht="12.75">
      <c r="Q40" s="58"/>
    </row>
    <row r="41" ht="12.75">
      <c r="Q41" s="58"/>
    </row>
    <row r="42" ht="12.75">
      <c r="Q42" s="58"/>
    </row>
    <row r="43" ht="12.75">
      <c r="Q43" s="58"/>
    </row>
    <row r="44" ht="12.75">
      <c r="Q44" s="58"/>
    </row>
    <row r="45" ht="12.75">
      <c r="Q45" s="58"/>
    </row>
    <row r="46" ht="12.75">
      <c r="Q46" s="17"/>
    </row>
    <row r="47" ht="12.75">
      <c r="Q47" s="17"/>
    </row>
    <row r="48" ht="12.75">
      <c r="Q48" s="17"/>
    </row>
    <row r="49" ht="12.75">
      <c r="Q49" s="17"/>
    </row>
    <row r="50" ht="12.75">
      <c r="Q50" s="17"/>
    </row>
    <row r="51" ht="12.75">
      <c r="Q51" s="17"/>
    </row>
    <row r="52" ht="12.75">
      <c r="Q52" s="17"/>
    </row>
    <row r="53" ht="12.75">
      <c r="Q53" s="17"/>
    </row>
    <row r="54" ht="12.75">
      <c r="Q54" s="17"/>
    </row>
    <row r="55" ht="12.75">
      <c r="Q55" s="45"/>
    </row>
    <row r="56" ht="12.75">
      <c r="Q56" s="45"/>
    </row>
    <row r="57" ht="12.75">
      <c r="Q57" s="45"/>
    </row>
    <row r="58" ht="12.75">
      <c r="Q58" s="45"/>
    </row>
    <row r="59" ht="12.75">
      <c r="Q59" s="45"/>
    </row>
    <row r="60" ht="12.75">
      <c r="Q60" s="45"/>
    </row>
    <row r="61" ht="12.75">
      <c r="Q61" s="45"/>
    </row>
    <row r="62" ht="12.75">
      <c r="Q62" s="45"/>
    </row>
    <row r="63" ht="12.75">
      <c r="Q63" s="45"/>
    </row>
    <row r="64" ht="12.75">
      <c r="Q64" s="45"/>
    </row>
    <row r="65" ht="12.75">
      <c r="Q65" s="45"/>
    </row>
    <row r="66" ht="12.75">
      <c r="Q66" s="45"/>
    </row>
    <row r="67" ht="12.75">
      <c r="Q67" s="45"/>
    </row>
    <row r="68" ht="12.75">
      <c r="Q68" s="45"/>
    </row>
    <row r="69" ht="12.75">
      <c r="Q69" s="17"/>
    </row>
    <row r="70" ht="12.75">
      <c r="Q70" s="17"/>
    </row>
    <row r="71" ht="12.75">
      <c r="Q71" s="17"/>
    </row>
    <row r="72" ht="12.75">
      <c r="Q72" s="17"/>
    </row>
    <row r="73" ht="12.75">
      <c r="Q73" s="17"/>
    </row>
    <row r="74" ht="12.75">
      <c r="Q74" s="17"/>
    </row>
    <row r="75" ht="12.75">
      <c r="Q75" s="17"/>
    </row>
    <row r="76" ht="12.75">
      <c r="Q76" s="17"/>
    </row>
    <row r="77" ht="12.75">
      <c r="Q77" s="17"/>
    </row>
    <row r="78" ht="12.75">
      <c r="Q78" s="17"/>
    </row>
    <row r="79" ht="12.75">
      <c r="Q79" s="17"/>
    </row>
    <row r="80" ht="12.75">
      <c r="Q80" s="17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90" r:id="rId1"/>
  <headerFooter alignWithMargins="0">
    <oddHeader>&amp;CFY09 Special Revenue Funds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zoomScale="75" zoomScaleNormal="75" workbookViewId="0" topLeftCell="A4">
      <pane ySplit="780" topLeftCell="BM13" activePane="bottomLeft" state="split"/>
      <selection pane="topLeft" activeCell="F38" sqref="F38"/>
      <selection pane="bottomLeft" activeCell="H82" sqref="H82"/>
    </sheetView>
  </sheetViews>
  <sheetFormatPr defaultColWidth="9.140625" defaultRowHeight="12.75"/>
  <cols>
    <col min="1" max="1" width="34.00390625" style="0" customWidth="1"/>
    <col min="2" max="2" width="7.57421875" style="0" bestFit="1" customWidth="1"/>
    <col min="3" max="3" width="10.00390625" style="0" hidden="1" customWidth="1"/>
    <col min="4" max="4" width="7.57421875" style="0" hidden="1" customWidth="1"/>
    <col min="5" max="5" width="9.140625" style="0" hidden="1" customWidth="1"/>
    <col min="6" max="6" width="11.7109375" style="0" hidden="1" customWidth="1"/>
    <col min="7" max="7" width="12.00390625" style="0" hidden="1" customWidth="1"/>
    <col min="8" max="8" width="12.00390625" style="0" bestFit="1" customWidth="1"/>
    <col min="9" max="9" width="10.28125" style="0" bestFit="1" customWidth="1"/>
    <col min="10" max="10" width="9.421875" style="0" bestFit="1" customWidth="1"/>
    <col min="11" max="11" width="10.28125" style="0" bestFit="1" customWidth="1"/>
    <col min="12" max="12" width="10.00390625" style="0" bestFit="1" customWidth="1"/>
    <col min="13" max="14" width="11.00390625" style="0" bestFit="1" customWidth="1"/>
    <col min="15" max="15" width="10.7109375" style="0" bestFit="1" customWidth="1"/>
    <col min="16" max="16" width="10.8515625" style="0" bestFit="1" customWidth="1"/>
    <col min="17" max="17" width="10.7109375" style="0" customWidth="1"/>
    <col min="19" max="19" width="9.8515625" style="221" bestFit="1" customWidth="1"/>
  </cols>
  <sheetData>
    <row r="1" spans="1:2" ht="12.75">
      <c r="A1" t="s">
        <v>0</v>
      </c>
      <c r="B1" s="21"/>
    </row>
    <row r="2" ht="12.75">
      <c r="A2" s="1" t="s">
        <v>228</v>
      </c>
    </row>
    <row r="3" spans="11:12" ht="12.75">
      <c r="K3" s="88">
        <v>6</v>
      </c>
      <c r="L3" s="89"/>
    </row>
    <row r="4" spans="3:16" ht="12.75">
      <c r="C4" s="4"/>
      <c r="D4" s="4"/>
      <c r="E4" s="4"/>
      <c r="F4" s="4"/>
      <c r="G4" s="4"/>
      <c r="H4" s="4"/>
      <c r="I4" s="4"/>
      <c r="J4" s="4"/>
      <c r="K4" s="89" t="s">
        <v>2</v>
      </c>
      <c r="L4" s="89"/>
      <c r="M4" s="4"/>
      <c r="N4" s="5" t="s">
        <v>3</v>
      </c>
      <c r="O4" s="5" t="s">
        <v>4</v>
      </c>
      <c r="P4" s="5" t="s">
        <v>5</v>
      </c>
    </row>
    <row r="5" spans="3:16" ht="12.75"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 t="s">
        <v>6</v>
      </c>
      <c r="I5" s="4" t="s">
        <v>6</v>
      </c>
      <c r="J5" s="4" t="s">
        <v>6</v>
      </c>
      <c r="K5" s="90" t="s">
        <v>6</v>
      </c>
      <c r="L5" s="90" t="s">
        <v>105</v>
      </c>
      <c r="M5" s="4" t="s">
        <v>8</v>
      </c>
      <c r="N5" s="5" t="s">
        <v>9</v>
      </c>
      <c r="O5" s="5" t="s">
        <v>10</v>
      </c>
      <c r="P5" s="5" t="s">
        <v>11</v>
      </c>
    </row>
    <row r="6" spans="1:17" ht="13.5" thickBot="1">
      <c r="A6" t="s">
        <v>12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6">
        <v>2005</v>
      </c>
      <c r="I6" s="6">
        <v>2006</v>
      </c>
      <c r="J6" s="6">
        <v>2007</v>
      </c>
      <c r="K6" s="6">
        <v>2008</v>
      </c>
      <c r="L6" s="6">
        <v>2008</v>
      </c>
      <c r="M6" s="6">
        <v>2008</v>
      </c>
      <c r="N6" s="6">
        <v>2009</v>
      </c>
      <c r="O6" s="6">
        <v>2009</v>
      </c>
      <c r="P6" s="6">
        <v>2009</v>
      </c>
      <c r="Q6" s="5" t="s">
        <v>13</v>
      </c>
    </row>
    <row r="7" spans="1:16" ht="12.75">
      <c r="A7" s="130" t="s">
        <v>33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8" ht="12.75">
      <c r="A8" s="11" t="s">
        <v>200</v>
      </c>
      <c r="B8" s="9">
        <v>33.411</v>
      </c>
      <c r="C8" s="10">
        <v>16000</v>
      </c>
      <c r="D8">
        <v>6020</v>
      </c>
      <c r="E8">
        <v>16800</v>
      </c>
      <c r="F8">
        <v>16800</v>
      </c>
      <c r="G8" s="10">
        <v>24115</v>
      </c>
      <c r="H8" s="10">
        <v>22633</v>
      </c>
      <c r="I8" s="10">
        <v>18981</v>
      </c>
      <c r="J8" s="10">
        <v>24809</v>
      </c>
      <c r="K8" s="10">
        <v>1888</v>
      </c>
      <c r="L8" s="10">
        <f aca="true" t="shared" si="0" ref="L8:L40">+K8/$K$3*12</f>
        <v>3776</v>
      </c>
      <c r="M8" s="10">
        <v>17000</v>
      </c>
      <c r="N8" s="10">
        <v>17000</v>
      </c>
      <c r="O8" s="10">
        <v>17000</v>
      </c>
      <c r="P8" s="10">
        <v>17000</v>
      </c>
      <c r="Q8" s="10"/>
      <c r="R8" s="9"/>
    </row>
    <row r="9" spans="1:18" ht="12.75">
      <c r="A9" s="11" t="s">
        <v>400</v>
      </c>
      <c r="B9" s="9">
        <v>35.1111</v>
      </c>
      <c r="C9" s="10"/>
      <c r="G9" s="10"/>
      <c r="H9" s="10"/>
      <c r="I9" s="10"/>
      <c r="J9" s="10">
        <v>210</v>
      </c>
      <c r="K9" s="10">
        <v>351</v>
      </c>
      <c r="L9" s="10">
        <f t="shared" si="0"/>
        <v>702</v>
      </c>
      <c r="M9" s="10"/>
      <c r="N9" s="10"/>
      <c r="O9" s="10"/>
      <c r="P9" s="10"/>
      <c r="Q9" s="10"/>
      <c r="R9" s="9"/>
    </row>
    <row r="10" spans="1:18" ht="12.75">
      <c r="A10" s="11" t="s">
        <v>386</v>
      </c>
      <c r="B10" s="9">
        <v>35.1112</v>
      </c>
      <c r="C10" s="10"/>
      <c r="G10" s="10"/>
      <c r="H10" s="10"/>
      <c r="I10" s="10"/>
      <c r="J10" s="10">
        <v>733</v>
      </c>
      <c r="K10" s="10">
        <v>266</v>
      </c>
      <c r="L10" s="10">
        <f t="shared" si="0"/>
        <v>532</v>
      </c>
      <c r="M10" s="10"/>
      <c r="N10" s="10"/>
      <c r="O10" s="10"/>
      <c r="P10" s="10"/>
      <c r="Q10" s="10"/>
      <c r="R10" s="9"/>
    </row>
    <row r="11" spans="1:18" ht="12.75">
      <c r="A11" s="11" t="s">
        <v>202</v>
      </c>
      <c r="B11" s="9">
        <v>35.1113</v>
      </c>
      <c r="C11" s="10">
        <v>1947</v>
      </c>
      <c r="D11">
        <v>2201</v>
      </c>
      <c r="E11">
        <v>2065</v>
      </c>
      <c r="F11">
        <v>2206</v>
      </c>
      <c r="G11" s="10">
        <v>2151</v>
      </c>
      <c r="H11" s="10">
        <f>2846+216+18+413+491</f>
        <v>3984</v>
      </c>
      <c r="I11" s="10">
        <v>4163.5</v>
      </c>
      <c r="J11" s="10">
        <v>3610</v>
      </c>
      <c r="K11" s="10">
        <v>368</v>
      </c>
      <c r="L11" s="10">
        <f t="shared" si="0"/>
        <v>736</v>
      </c>
      <c r="M11" s="10">
        <v>4200</v>
      </c>
      <c r="N11" s="10">
        <v>4200</v>
      </c>
      <c r="O11" s="10">
        <v>4200</v>
      </c>
      <c r="P11" s="10">
        <v>4200</v>
      </c>
      <c r="Q11" s="10"/>
      <c r="R11" s="9"/>
    </row>
    <row r="12" spans="1:18" ht="12.75">
      <c r="A12" s="11" t="s">
        <v>401</v>
      </c>
      <c r="B12" s="9">
        <v>35.1114</v>
      </c>
      <c r="C12" s="10"/>
      <c r="G12" s="10"/>
      <c r="H12" s="10"/>
      <c r="I12" s="10"/>
      <c r="J12" s="10">
        <v>1113</v>
      </c>
      <c r="K12" s="10">
        <v>1089</v>
      </c>
      <c r="L12" s="10">
        <f t="shared" si="0"/>
        <v>2178</v>
      </c>
      <c r="M12" s="10"/>
      <c r="N12" s="10"/>
      <c r="O12" s="10"/>
      <c r="P12" s="10"/>
      <c r="Q12" s="10"/>
      <c r="R12" s="9"/>
    </row>
    <row r="13" spans="1:18" ht="12.75">
      <c r="A13" s="11" t="s">
        <v>203</v>
      </c>
      <c r="B13" s="9">
        <v>35.1115</v>
      </c>
      <c r="C13" s="10">
        <v>1143</v>
      </c>
      <c r="D13">
        <v>1215</v>
      </c>
      <c r="E13">
        <v>1854</v>
      </c>
      <c r="F13">
        <v>1412</v>
      </c>
      <c r="G13" s="10"/>
      <c r="H13" s="10"/>
      <c r="I13" s="10"/>
      <c r="J13" s="10">
        <v>221</v>
      </c>
      <c r="K13" s="10">
        <v>183</v>
      </c>
      <c r="L13" s="10">
        <f t="shared" si="0"/>
        <v>366</v>
      </c>
      <c r="M13" s="10"/>
      <c r="N13" s="10"/>
      <c r="O13" s="10"/>
      <c r="P13" s="10"/>
      <c r="Q13" s="10"/>
      <c r="R13" s="9"/>
    </row>
    <row r="14" spans="1:18" ht="12.75">
      <c r="A14" s="11" t="s">
        <v>204</v>
      </c>
      <c r="B14" s="9">
        <v>35.1131</v>
      </c>
      <c r="C14" s="10">
        <v>110</v>
      </c>
      <c r="D14">
        <v>130</v>
      </c>
      <c r="E14">
        <v>23</v>
      </c>
      <c r="G14" s="10"/>
      <c r="H14" s="10"/>
      <c r="I14" s="10"/>
      <c r="J14" s="10">
        <v>8</v>
      </c>
      <c r="K14" s="169">
        <v>53</v>
      </c>
      <c r="L14" s="10">
        <f t="shared" si="0"/>
        <v>106</v>
      </c>
      <c r="M14" s="10"/>
      <c r="N14" s="10"/>
      <c r="O14" s="10"/>
      <c r="P14" s="10"/>
      <c r="Q14" s="10"/>
      <c r="R14" s="9"/>
    </row>
    <row r="15" spans="1:18" ht="12.75">
      <c r="A15" s="11" t="s">
        <v>387</v>
      </c>
      <c r="B15" s="9">
        <v>35.1132</v>
      </c>
      <c r="C15" s="10"/>
      <c r="G15" s="10"/>
      <c r="H15" s="10"/>
      <c r="I15" s="10"/>
      <c r="J15" s="10">
        <v>201</v>
      </c>
      <c r="K15" s="169">
        <v>128</v>
      </c>
      <c r="L15" s="10">
        <f t="shared" si="0"/>
        <v>256</v>
      </c>
      <c r="M15" s="10"/>
      <c r="N15" s="10"/>
      <c r="O15" s="10"/>
      <c r="P15" s="10"/>
      <c r="Q15" s="10"/>
      <c r="R15" s="9"/>
    </row>
    <row r="16" spans="1:18" ht="12.75">
      <c r="A16" s="11" t="s">
        <v>205</v>
      </c>
      <c r="B16" s="9">
        <v>35.1133</v>
      </c>
      <c r="C16" s="10">
        <v>751</v>
      </c>
      <c r="D16">
        <v>765</v>
      </c>
      <c r="E16">
        <v>1241</v>
      </c>
      <c r="F16">
        <v>519</v>
      </c>
      <c r="G16" s="10">
        <v>595</v>
      </c>
      <c r="H16" s="10">
        <f>473+40+80+77</f>
        <v>670</v>
      </c>
      <c r="I16" s="10">
        <v>833</v>
      </c>
      <c r="J16" s="10">
        <v>1219</v>
      </c>
      <c r="K16" s="169">
        <v>486</v>
      </c>
      <c r="L16" s="10">
        <f t="shared" si="0"/>
        <v>972</v>
      </c>
      <c r="M16" s="10">
        <v>1000</v>
      </c>
      <c r="N16" s="10">
        <v>1000</v>
      </c>
      <c r="O16" s="10">
        <v>1000</v>
      </c>
      <c r="P16" s="10">
        <v>1000</v>
      </c>
      <c r="Q16" s="10"/>
      <c r="R16" s="9"/>
    </row>
    <row r="17" spans="1:18" ht="12.75">
      <c r="A17" s="11" t="s">
        <v>388</v>
      </c>
      <c r="B17" s="9">
        <v>35.1134</v>
      </c>
      <c r="C17" s="10"/>
      <c r="G17" s="10"/>
      <c r="H17" s="10"/>
      <c r="I17" s="10"/>
      <c r="J17" s="10">
        <v>3326</v>
      </c>
      <c r="K17" s="169">
        <v>262</v>
      </c>
      <c r="L17" s="10">
        <f t="shared" si="0"/>
        <v>524</v>
      </c>
      <c r="M17" s="10"/>
      <c r="N17" s="10"/>
      <c r="O17" s="10"/>
      <c r="P17" s="10"/>
      <c r="Q17" s="10"/>
      <c r="R17" s="9"/>
    </row>
    <row r="18" spans="1:17" ht="12.75" hidden="1">
      <c r="A18" s="11" t="s">
        <v>206</v>
      </c>
      <c r="B18" s="9">
        <v>35.1135</v>
      </c>
      <c r="C18" s="10">
        <v>2283</v>
      </c>
      <c r="D18">
        <v>2333</v>
      </c>
      <c r="E18">
        <v>2487</v>
      </c>
      <c r="F18">
        <v>744</v>
      </c>
      <c r="G18" s="10"/>
      <c r="H18" s="10"/>
      <c r="I18" s="10"/>
      <c r="J18" s="10"/>
      <c r="L18" s="10">
        <f>+K18/$K$3*12</f>
        <v>0</v>
      </c>
      <c r="M18" s="10"/>
      <c r="N18" s="10"/>
      <c r="O18" s="10"/>
      <c r="P18" s="10"/>
      <c r="Q18" s="10"/>
    </row>
    <row r="19" spans="1:17" ht="12.75">
      <c r="A19" s="11" t="s">
        <v>207</v>
      </c>
      <c r="B19" s="9">
        <v>35.1151</v>
      </c>
      <c r="C19" s="10"/>
      <c r="E19">
        <v>33</v>
      </c>
      <c r="G19" s="10"/>
      <c r="H19" s="10"/>
      <c r="I19" s="10"/>
      <c r="J19" s="10">
        <v>1017</v>
      </c>
      <c r="K19" s="10"/>
      <c r="L19" s="10">
        <f t="shared" si="0"/>
        <v>0</v>
      </c>
      <c r="M19" s="10"/>
      <c r="N19" s="10"/>
      <c r="O19" s="10"/>
      <c r="P19" s="10"/>
      <c r="Q19" s="10"/>
    </row>
    <row r="20" spans="1:17" ht="12.75">
      <c r="A20" s="11" t="s">
        <v>208</v>
      </c>
      <c r="B20" s="9">
        <v>35.1152</v>
      </c>
      <c r="C20" s="10">
        <v>17500</v>
      </c>
      <c r="G20" s="10"/>
      <c r="H20" s="10"/>
      <c r="I20" s="10"/>
      <c r="J20" s="10">
        <v>32227</v>
      </c>
      <c r="K20" s="169">
        <v>7450</v>
      </c>
      <c r="L20" s="10">
        <f t="shared" si="0"/>
        <v>14900</v>
      </c>
      <c r="M20" s="10"/>
      <c r="N20" s="10"/>
      <c r="O20" s="10"/>
      <c r="P20" s="10"/>
      <c r="Q20" s="10"/>
    </row>
    <row r="21" spans="1:19" ht="12.75">
      <c r="A21" s="11" t="s">
        <v>209</v>
      </c>
      <c r="B21" s="9">
        <v>35.1153</v>
      </c>
      <c r="C21" s="10">
        <v>5286</v>
      </c>
      <c r="D21">
        <v>4951</v>
      </c>
      <c r="E21">
        <v>5252</v>
      </c>
      <c r="F21">
        <v>2782</v>
      </c>
      <c r="G21" s="10">
        <v>2790</v>
      </c>
      <c r="H21" s="10">
        <f>3576+173+346+478</f>
        <v>4573</v>
      </c>
      <c r="I21" s="10">
        <v>8754.88</v>
      </c>
      <c r="J21" s="10">
        <v>8377</v>
      </c>
      <c r="K21" s="169">
        <v>2964</v>
      </c>
      <c r="L21" s="10">
        <f t="shared" si="0"/>
        <v>5928</v>
      </c>
      <c r="M21" s="10">
        <v>6600</v>
      </c>
      <c r="N21" s="10">
        <v>6600</v>
      </c>
      <c r="O21" s="10">
        <v>6600</v>
      </c>
      <c r="P21" s="10">
        <v>6600</v>
      </c>
      <c r="Q21" s="10"/>
      <c r="R21" s="1"/>
      <c r="S21" s="222"/>
    </row>
    <row r="22" spans="1:17" ht="12.75">
      <c r="A22" s="11" t="s">
        <v>210</v>
      </c>
      <c r="B22" s="9">
        <v>35.1154</v>
      </c>
      <c r="C22" s="10">
        <v>1773</v>
      </c>
      <c r="G22" s="10"/>
      <c r="H22" s="10"/>
      <c r="I22" s="10"/>
      <c r="J22" s="10">
        <v>9554</v>
      </c>
      <c r="K22" s="169">
        <v>1232</v>
      </c>
      <c r="L22" s="10">
        <f t="shared" si="0"/>
        <v>2464</v>
      </c>
      <c r="M22" s="10"/>
      <c r="N22" s="10"/>
      <c r="O22" s="10"/>
      <c r="P22" s="10"/>
      <c r="Q22" s="10"/>
    </row>
    <row r="23" spans="1:17" ht="12.75">
      <c r="A23" s="11" t="s">
        <v>211</v>
      </c>
      <c r="B23" s="9">
        <v>35.1155</v>
      </c>
      <c r="C23" s="10">
        <v>5199</v>
      </c>
      <c r="D23">
        <v>4917</v>
      </c>
      <c r="E23">
        <v>7395</v>
      </c>
      <c r="F23">
        <v>2383</v>
      </c>
      <c r="G23" s="10"/>
      <c r="H23" s="10"/>
      <c r="I23" s="10"/>
      <c r="J23" s="10">
        <v>4165</v>
      </c>
      <c r="K23" s="169">
        <v>813</v>
      </c>
      <c r="L23" s="10">
        <f t="shared" si="0"/>
        <v>1626</v>
      </c>
      <c r="M23" s="10"/>
      <c r="N23" s="10"/>
      <c r="O23" s="10"/>
      <c r="P23" s="10"/>
      <c r="Q23" s="10"/>
    </row>
    <row r="24" spans="1:17" ht="12.75">
      <c r="A24" s="11" t="s">
        <v>212</v>
      </c>
      <c r="B24" s="9">
        <v>35.1156</v>
      </c>
      <c r="C24" s="10">
        <v>2713</v>
      </c>
      <c r="D24">
        <v>13634</v>
      </c>
      <c r="E24">
        <v>8533</v>
      </c>
      <c r="F24">
        <v>3608</v>
      </c>
      <c r="G24" s="10">
        <v>2748</v>
      </c>
      <c r="H24" s="10"/>
      <c r="I24" s="10"/>
      <c r="J24" s="10">
        <v>3966</v>
      </c>
      <c r="K24" s="169">
        <v>1391</v>
      </c>
      <c r="L24" s="10">
        <f t="shared" si="0"/>
        <v>2782</v>
      </c>
      <c r="M24" s="10"/>
      <c r="N24" s="10"/>
      <c r="O24" s="10"/>
      <c r="P24" s="10"/>
      <c r="Q24" s="10"/>
    </row>
    <row r="25" spans="1:17" ht="12" customHeight="1">
      <c r="A25" s="11" t="s">
        <v>213</v>
      </c>
      <c r="B25" s="9">
        <v>35.1157</v>
      </c>
      <c r="C25" s="10"/>
      <c r="D25">
        <v>1574</v>
      </c>
      <c r="E25">
        <v>1625</v>
      </c>
      <c r="F25">
        <v>1165</v>
      </c>
      <c r="G25" s="10">
        <v>1829</v>
      </c>
      <c r="H25" s="10"/>
      <c r="I25" s="10"/>
      <c r="J25" s="10">
        <v>1672</v>
      </c>
      <c r="K25" s="169">
        <v>251</v>
      </c>
      <c r="L25" s="10">
        <f t="shared" si="0"/>
        <v>502</v>
      </c>
      <c r="M25" s="10"/>
      <c r="N25" s="10"/>
      <c r="O25" s="10"/>
      <c r="P25" s="10"/>
      <c r="Q25" s="10"/>
    </row>
    <row r="26" spans="1:17" ht="12.75">
      <c r="A26" s="11" t="s">
        <v>214</v>
      </c>
      <c r="B26" s="9">
        <v>35.1158</v>
      </c>
      <c r="C26" s="10">
        <v>14500</v>
      </c>
      <c r="G26" s="10"/>
      <c r="H26" s="10"/>
      <c r="I26" s="10"/>
      <c r="J26" s="10">
        <v>3227</v>
      </c>
      <c r="K26" s="169">
        <v>735</v>
      </c>
      <c r="L26" s="10">
        <f t="shared" si="0"/>
        <v>1470</v>
      </c>
      <c r="M26" s="10"/>
      <c r="N26" s="10"/>
      <c r="O26" s="10"/>
      <c r="P26" s="10"/>
      <c r="Q26" s="10"/>
    </row>
    <row r="27" spans="1:17" ht="12.75">
      <c r="A27" s="11" t="s">
        <v>264</v>
      </c>
      <c r="B27" s="9"/>
      <c r="C27" s="10"/>
      <c r="G27" s="10"/>
      <c r="H27" s="10"/>
      <c r="I27" s="10"/>
      <c r="J27" s="10">
        <v>2787</v>
      </c>
      <c r="K27" s="169"/>
      <c r="L27" s="10">
        <f t="shared" si="0"/>
        <v>0</v>
      </c>
      <c r="M27" s="10"/>
      <c r="N27" s="10"/>
      <c r="O27" s="10"/>
      <c r="P27" s="10"/>
      <c r="Q27" s="10"/>
    </row>
    <row r="28" spans="1:17" ht="12.75" hidden="1">
      <c r="A28" s="11" t="s">
        <v>215</v>
      </c>
      <c r="B28" s="9">
        <v>35.1159</v>
      </c>
      <c r="C28" s="10"/>
      <c r="G28" s="10"/>
      <c r="H28" s="10"/>
      <c r="I28" s="10"/>
      <c r="J28" s="10"/>
      <c r="K28" s="10"/>
      <c r="L28" s="10">
        <f t="shared" si="0"/>
        <v>0</v>
      </c>
      <c r="M28" s="10"/>
      <c r="N28" s="10"/>
      <c r="O28" s="10"/>
      <c r="P28" s="10"/>
      <c r="Q28" s="10"/>
    </row>
    <row r="29" spans="1:17" ht="12.75" hidden="1">
      <c r="A29" s="11" t="s">
        <v>216</v>
      </c>
      <c r="B29" s="9">
        <v>35.116</v>
      </c>
      <c r="C29" s="10"/>
      <c r="G29" s="10"/>
      <c r="H29" s="10"/>
      <c r="I29" s="10"/>
      <c r="J29" s="10"/>
      <c r="K29" s="10"/>
      <c r="L29" s="10">
        <f t="shared" si="0"/>
        <v>0</v>
      </c>
      <c r="M29" s="10"/>
      <c r="N29" s="10"/>
      <c r="O29" s="10"/>
      <c r="P29" s="10"/>
      <c r="Q29" s="10"/>
    </row>
    <row r="30" spans="1:17" ht="12.75" hidden="1">
      <c r="A30" s="11" t="s">
        <v>217</v>
      </c>
      <c r="B30" s="9">
        <v>35.1161</v>
      </c>
      <c r="C30" s="10"/>
      <c r="D30">
        <v>20000</v>
      </c>
      <c r="G30" s="10"/>
      <c r="H30" s="10"/>
      <c r="I30" s="10"/>
      <c r="J30" s="10"/>
      <c r="L30" s="10">
        <f t="shared" si="0"/>
        <v>0</v>
      </c>
      <c r="M30" s="10"/>
      <c r="N30" s="10"/>
      <c r="O30" s="10"/>
      <c r="P30" s="10"/>
      <c r="Q30" s="10"/>
    </row>
    <row r="31" spans="1:17" ht="12.75" hidden="1">
      <c r="A31" s="11" t="s">
        <v>389</v>
      </c>
      <c r="B31" s="9">
        <v>35.1162</v>
      </c>
      <c r="C31" s="10"/>
      <c r="G31" s="10"/>
      <c r="H31" s="10"/>
      <c r="I31" s="10"/>
      <c r="J31" s="10"/>
      <c r="L31" s="10">
        <f t="shared" si="0"/>
        <v>0</v>
      </c>
      <c r="M31" s="10"/>
      <c r="N31" s="10"/>
      <c r="O31" s="10"/>
      <c r="P31" s="10"/>
      <c r="Q31" s="10"/>
    </row>
    <row r="32" spans="1:17" ht="12.75">
      <c r="A32" s="11" t="s">
        <v>264</v>
      </c>
      <c r="B32" s="9">
        <v>35.1163</v>
      </c>
      <c r="C32" s="10"/>
      <c r="G32" s="10"/>
      <c r="H32" s="10"/>
      <c r="I32" s="10">
        <v>5854</v>
      </c>
      <c r="J32" s="10"/>
      <c r="L32" s="10">
        <f t="shared" si="0"/>
        <v>0</v>
      </c>
      <c r="M32" s="10"/>
      <c r="N32" s="10"/>
      <c r="O32" s="10"/>
      <c r="P32" s="10"/>
      <c r="Q32" s="10"/>
    </row>
    <row r="33" spans="1:17" ht="12.75">
      <c r="A33" s="11" t="s">
        <v>390</v>
      </c>
      <c r="B33" s="9">
        <v>35.1164</v>
      </c>
      <c r="C33" s="10"/>
      <c r="G33" s="10"/>
      <c r="H33" s="10"/>
      <c r="I33" s="10"/>
      <c r="J33" s="10">
        <v>552</v>
      </c>
      <c r="L33" s="10">
        <f t="shared" si="0"/>
        <v>0</v>
      </c>
      <c r="M33" s="10"/>
      <c r="N33" s="10"/>
      <c r="O33" s="10"/>
      <c r="P33" s="10"/>
      <c r="Q33" s="10"/>
    </row>
    <row r="34" spans="1:17" ht="12.75">
      <c r="A34" s="11" t="s">
        <v>391</v>
      </c>
      <c r="B34" s="9">
        <v>35.1165</v>
      </c>
      <c r="C34" s="10"/>
      <c r="G34" s="10"/>
      <c r="H34" s="10"/>
      <c r="I34" s="10"/>
      <c r="J34" s="10">
        <v>337</v>
      </c>
      <c r="L34" s="10">
        <f t="shared" si="0"/>
        <v>0</v>
      </c>
      <c r="M34" s="10"/>
      <c r="N34" s="10"/>
      <c r="O34" s="10"/>
      <c r="P34" s="10"/>
      <c r="Q34" s="10"/>
    </row>
    <row r="35" spans="1:17" ht="12.75">
      <c r="A35" s="11" t="s">
        <v>218</v>
      </c>
      <c r="B35" s="9">
        <v>36.1</v>
      </c>
      <c r="C35" s="10">
        <v>2019</v>
      </c>
      <c r="D35">
        <v>1893</v>
      </c>
      <c r="E35">
        <v>8830</v>
      </c>
      <c r="F35">
        <v>116</v>
      </c>
      <c r="G35" s="10">
        <v>56</v>
      </c>
      <c r="H35" s="10"/>
      <c r="I35" s="10">
        <v>3394</v>
      </c>
      <c r="J35" s="10">
        <v>12</v>
      </c>
      <c r="K35" s="169">
        <v>19</v>
      </c>
      <c r="L35" s="10">
        <f t="shared" si="0"/>
        <v>38</v>
      </c>
      <c r="M35" s="10"/>
      <c r="N35" s="10"/>
      <c r="O35" s="10"/>
      <c r="P35" s="10"/>
      <c r="Q35" s="10"/>
    </row>
    <row r="36" spans="1:17" ht="12.75">
      <c r="A36" s="11" t="s">
        <v>279</v>
      </c>
      <c r="B36" s="9">
        <v>36.112</v>
      </c>
      <c r="C36" s="10"/>
      <c r="F36">
        <v>3023</v>
      </c>
      <c r="G36" s="10">
        <v>2658</v>
      </c>
      <c r="H36" s="10">
        <v>4780</v>
      </c>
      <c r="I36" s="10">
        <v>8171</v>
      </c>
      <c r="J36" s="10">
        <v>12419</v>
      </c>
      <c r="K36" s="169">
        <v>3588</v>
      </c>
      <c r="L36" s="10">
        <f t="shared" si="0"/>
        <v>7176</v>
      </c>
      <c r="M36" s="10">
        <v>10000</v>
      </c>
      <c r="N36" s="10">
        <v>10000</v>
      </c>
      <c r="O36" s="10">
        <v>10000</v>
      </c>
      <c r="P36" s="10">
        <v>10000</v>
      </c>
      <c r="Q36" s="10"/>
    </row>
    <row r="37" spans="1:17" ht="12.75" hidden="1">
      <c r="A37" s="11" t="s">
        <v>219</v>
      </c>
      <c r="B37" s="9">
        <v>37.11</v>
      </c>
      <c r="C37" s="10">
        <v>18</v>
      </c>
      <c r="D37">
        <v>38</v>
      </c>
      <c r="L37" s="10">
        <f t="shared" si="0"/>
        <v>0</v>
      </c>
      <c r="M37" s="10"/>
      <c r="N37" s="10"/>
      <c r="O37" s="85"/>
      <c r="P37" s="85"/>
      <c r="Q37" s="10"/>
    </row>
    <row r="38" spans="1:19" ht="12.75">
      <c r="A38" s="11" t="s">
        <v>389</v>
      </c>
      <c r="B38" s="9">
        <v>35.1162</v>
      </c>
      <c r="C38" s="10"/>
      <c r="E38">
        <v>1356</v>
      </c>
      <c r="F38">
        <v>1013</v>
      </c>
      <c r="G38">
        <v>4808</v>
      </c>
      <c r="K38">
        <v>306</v>
      </c>
      <c r="L38" s="10">
        <f t="shared" si="0"/>
        <v>612</v>
      </c>
      <c r="M38" s="10"/>
      <c r="N38" s="10"/>
      <c r="O38" s="85"/>
      <c r="P38" s="85"/>
      <c r="Q38" s="10"/>
      <c r="S38" s="85"/>
    </row>
    <row r="39" spans="1:19" ht="12.75">
      <c r="A39" s="11" t="s">
        <v>437</v>
      </c>
      <c r="B39" s="9">
        <v>35.1166</v>
      </c>
      <c r="C39" s="10"/>
      <c r="K39">
        <v>70</v>
      </c>
      <c r="M39" s="10"/>
      <c r="N39" s="10"/>
      <c r="O39" s="85"/>
      <c r="P39" s="10"/>
      <c r="S39" s="85"/>
    </row>
    <row r="40" spans="1:17" ht="12.75">
      <c r="A40" s="11"/>
      <c r="B40" s="9"/>
      <c r="C40" s="10"/>
      <c r="E40">
        <v>1356</v>
      </c>
      <c r="F40">
        <v>1013</v>
      </c>
      <c r="G40">
        <v>4808</v>
      </c>
      <c r="L40" s="10">
        <f t="shared" si="0"/>
        <v>0</v>
      </c>
      <c r="M40" s="10"/>
      <c r="N40" s="10"/>
      <c r="O40" s="85"/>
      <c r="P40" s="10"/>
      <c r="Q40" s="10"/>
    </row>
    <row r="41" spans="2:16" ht="12.75">
      <c r="B41" s="9">
        <v>36.1</v>
      </c>
      <c r="C41" s="10"/>
      <c r="M41" s="10"/>
      <c r="N41" s="10"/>
      <c r="O41" s="85"/>
      <c r="P41" s="10"/>
    </row>
    <row r="42" spans="1:16" ht="12.75">
      <c r="A42" s="132" t="s">
        <v>19</v>
      </c>
      <c r="B42" s="9"/>
      <c r="C42" s="12">
        <f>SUM(C8:C41)</f>
        <v>71242</v>
      </c>
      <c r="D42" s="12">
        <f>SUM(D8:D41)</f>
        <v>59671</v>
      </c>
      <c r="E42" s="12">
        <f>SUM(E8:E41)</f>
        <v>58850</v>
      </c>
      <c r="F42" s="12">
        <v>35771</v>
      </c>
      <c r="G42" s="12">
        <v>41750</v>
      </c>
      <c r="H42" s="12">
        <v>35351</v>
      </c>
      <c r="I42" s="12">
        <v>49209</v>
      </c>
      <c r="J42" s="12">
        <v>115762</v>
      </c>
      <c r="K42" s="12">
        <f aca="true" t="shared" si="1" ref="K42:P42">SUM(K8:K41)</f>
        <v>23893</v>
      </c>
      <c r="L42" s="12">
        <f t="shared" si="1"/>
        <v>47646</v>
      </c>
      <c r="M42" s="12">
        <f t="shared" si="1"/>
        <v>38800</v>
      </c>
      <c r="N42" s="12">
        <f t="shared" si="1"/>
        <v>38800</v>
      </c>
      <c r="O42" s="12">
        <f t="shared" si="1"/>
        <v>38800</v>
      </c>
      <c r="P42" s="12">
        <f t="shared" si="1"/>
        <v>38800</v>
      </c>
    </row>
    <row r="43" spans="2:16" ht="12.75">
      <c r="B43" s="9"/>
      <c r="C43" s="10"/>
      <c r="D43" s="10"/>
      <c r="E43" s="10"/>
      <c r="F43" s="10"/>
      <c r="G43" s="10"/>
      <c r="H43" s="10"/>
      <c r="I43" s="10"/>
      <c r="J43" s="10"/>
      <c r="M43" s="10"/>
      <c r="N43" s="10"/>
      <c r="O43" s="85"/>
      <c r="P43" s="10"/>
    </row>
    <row r="44" spans="1:16" ht="12.75">
      <c r="A44" s="11" t="s">
        <v>220</v>
      </c>
      <c r="B44" s="9">
        <v>51.11</v>
      </c>
      <c r="C44" s="10">
        <v>19864</v>
      </c>
      <c r="D44" s="10"/>
      <c r="E44" s="10">
        <v>23848</v>
      </c>
      <c r="F44" s="10">
        <v>24128</v>
      </c>
      <c r="G44" s="10">
        <v>36304</v>
      </c>
      <c r="H44" s="10">
        <v>32887</v>
      </c>
      <c r="I44" s="10">
        <v>55798</v>
      </c>
      <c r="J44" s="10">
        <v>50385</v>
      </c>
      <c r="K44" s="10">
        <v>29191</v>
      </c>
      <c r="L44" s="10">
        <f>+K44/$K$3*12</f>
        <v>58382</v>
      </c>
      <c r="M44" s="10">
        <v>86000</v>
      </c>
      <c r="N44" s="10">
        <v>86000</v>
      </c>
      <c r="O44" s="10">
        <v>86000</v>
      </c>
      <c r="P44" s="10">
        <v>86000</v>
      </c>
    </row>
    <row r="45" spans="1:16" ht="12.75" hidden="1">
      <c r="A45" s="11" t="s">
        <v>221</v>
      </c>
      <c r="B45" s="9">
        <v>51.13</v>
      </c>
      <c r="C45" s="10">
        <v>243</v>
      </c>
      <c r="D45" s="10"/>
      <c r="E45" s="10"/>
      <c r="F45" s="10"/>
      <c r="G45" s="10"/>
      <c r="H45" s="10"/>
      <c r="I45" s="10"/>
      <c r="J45" s="10"/>
      <c r="K45" s="10"/>
      <c r="L45" s="10">
        <f>+K45/$K$3*12</f>
        <v>0</v>
      </c>
      <c r="M45" s="10"/>
      <c r="N45" s="10"/>
      <c r="O45" s="10"/>
      <c r="P45" s="10"/>
    </row>
    <row r="46" spans="1:16" ht="12.75">
      <c r="A46" s="11" t="s">
        <v>222</v>
      </c>
      <c r="B46" s="9">
        <v>51.21</v>
      </c>
      <c r="C46" s="10">
        <v>2518</v>
      </c>
      <c r="D46" s="10"/>
      <c r="E46" s="10"/>
      <c r="F46" s="10"/>
      <c r="G46" s="10">
        <v>1080</v>
      </c>
      <c r="H46" s="10">
        <v>42</v>
      </c>
      <c r="I46" s="10">
        <v>3186</v>
      </c>
      <c r="J46" s="10">
        <v>3708</v>
      </c>
      <c r="K46" s="10">
        <v>2055</v>
      </c>
      <c r="L46" s="10">
        <f>+K46/$K$3*12</f>
        <v>4110</v>
      </c>
      <c r="M46" s="85">
        <v>13893.3</v>
      </c>
      <c r="N46" s="85">
        <v>13893.3</v>
      </c>
      <c r="O46" s="85">
        <v>13893.3</v>
      </c>
      <c r="P46" s="85">
        <v>13893.3</v>
      </c>
    </row>
    <row r="47" spans="1:16" ht="12.75">
      <c r="A47" s="11" t="s">
        <v>22</v>
      </c>
      <c r="B47" s="9">
        <v>51.22</v>
      </c>
      <c r="C47" s="10">
        <v>1509</v>
      </c>
      <c r="D47" s="10"/>
      <c r="E47" s="10">
        <v>1824</v>
      </c>
      <c r="F47" s="10">
        <v>1846</v>
      </c>
      <c r="G47" s="10">
        <v>2718</v>
      </c>
      <c r="H47" s="10">
        <v>2516</v>
      </c>
      <c r="I47" s="10">
        <v>4246</v>
      </c>
      <c r="J47" s="10">
        <v>3830</v>
      </c>
      <c r="K47" s="10">
        <v>2219</v>
      </c>
      <c r="L47" s="10">
        <f>+K47/$K$3*12</f>
        <v>4438</v>
      </c>
      <c r="M47" s="10">
        <v>6579</v>
      </c>
      <c r="N47" s="10">
        <v>6579</v>
      </c>
      <c r="O47" s="10">
        <v>6579</v>
      </c>
      <c r="P47" s="10">
        <v>6579</v>
      </c>
    </row>
    <row r="48" spans="1:16" ht="12.75" hidden="1">
      <c r="A48" s="11" t="s">
        <v>223</v>
      </c>
      <c r="B48" s="9">
        <v>52.1315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f>+K48/$K$3*12</f>
        <v>0</v>
      </c>
      <c r="M48" s="10"/>
      <c r="N48" s="10"/>
      <c r="O48" s="10"/>
      <c r="P48" s="10"/>
    </row>
    <row r="49" spans="1:16" ht="12.75">
      <c r="A49" s="11" t="s">
        <v>399</v>
      </c>
      <c r="B49" s="9"/>
      <c r="C49" s="10"/>
      <c r="D49" s="10"/>
      <c r="E49" s="10"/>
      <c r="F49" s="10"/>
      <c r="G49" s="10"/>
      <c r="H49" s="10"/>
      <c r="I49" s="10"/>
      <c r="J49" s="10">
        <v>322</v>
      </c>
      <c r="K49" s="10">
        <v>481</v>
      </c>
      <c r="L49" s="10"/>
      <c r="M49" s="10"/>
      <c r="N49" s="10"/>
      <c r="O49" s="10"/>
      <c r="P49" s="10"/>
    </row>
    <row r="50" spans="1:16" ht="12.75">
      <c r="A50" s="11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1" t="s">
        <v>402</v>
      </c>
      <c r="B51" s="9">
        <v>52.126</v>
      </c>
      <c r="C51" s="10"/>
      <c r="D51" s="10"/>
      <c r="E51" s="10"/>
      <c r="F51" s="10"/>
      <c r="G51" s="10"/>
      <c r="H51" s="10"/>
      <c r="I51" s="10"/>
      <c r="J51" s="10">
        <v>1200</v>
      </c>
      <c r="K51" s="10">
        <v>1200</v>
      </c>
      <c r="L51" s="10"/>
      <c r="M51" s="10"/>
      <c r="N51" s="10"/>
      <c r="O51" s="10"/>
      <c r="P51" s="10"/>
    </row>
    <row r="52" spans="1:16" ht="12.75">
      <c r="A52" s="11" t="s">
        <v>224</v>
      </c>
      <c r="B52" s="9">
        <v>52.32</v>
      </c>
      <c r="C52" s="10">
        <v>517</v>
      </c>
      <c r="D52" s="10"/>
      <c r="E52" s="10">
        <v>1926</v>
      </c>
      <c r="F52" s="10">
        <v>1912</v>
      </c>
      <c r="G52" s="10">
        <v>2085</v>
      </c>
      <c r="H52" s="10">
        <v>2664</v>
      </c>
      <c r="I52" s="10">
        <v>1797</v>
      </c>
      <c r="J52" s="10">
        <v>1899</v>
      </c>
      <c r="K52" s="169">
        <v>1030</v>
      </c>
      <c r="L52" s="10">
        <f aca="true" t="shared" si="2" ref="L52:L60">+K52/$K$3*12</f>
        <v>2060</v>
      </c>
      <c r="M52" s="10">
        <v>2000</v>
      </c>
      <c r="N52" s="10">
        <v>2000</v>
      </c>
      <c r="O52" s="10">
        <v>2000</v>
      </c>
      <c r="P52" s="10">
        <v>2000</v>
      </c>
    </row>
    <row r="53" spans="1:16" ht="12.75">
      <c r="A53" s="11" t="s">
        <v>44</v>
      </c>
      <c r="B53" s="9">
        <v>52.321</v>
      </c>
      <c r="C53" s="10">
        <v>134</v>
      </c>
      <c r="D53" s="10"/>
      <c r="E53" s="10">
        <v>176</v>
      </c>
      <c r="F53" s="10">
        <v>179</v>
      </c>
      <c r="G53" s="10">
        <v>204</v>
      </c>
      <c r="H53" s="10">
        <v>142</v>
      </c>
      <c r="I53" s="10">
        <v>306</v>
      </c>
      <c r="J53" s="10">
        <v>148</v>
      </c>
      <c r="K53" s="169">
        <v>164</v>
      </c>
      <c r="L53" s="10">
        <f t="shared" si="2"/>
        <v>328</v>
      </c>
      <c r="M53" s="10">
        <v>350</v>
      </c>
      <c r="N53" s="10">
        <v>350</v>
      </c>
      <c r="O53" s="10">
        <v>350</v>
      </c>
      <c r="P53" s="10">
        <v>350</v>
      </c>
    </row>
    <row r="54" spans="1:16" ht="12.75">
      <c r="A54" s="11" t="s">
        <v>63</v>
      </c>
      <c r="B54" s="9">
        <v>52.35</v>
      </c>
      <c r="C54" s="10">
        <v>1086</v>
      </c>
      <c r="D54" s="10"/>
      <c r="E54" s="10">
        <v>1752</v>
      </c>
      <c r="F54" s="10">
        <v>1855</v>
      </c>
      <c r="G54" s="10">
        <v>3621</v>
      </c>
      <c r="H54" s="10">
        <f>1779+59+59</f>
        <v>1897</v>
      </c>
      <c r="I54" s="10">
        <v>1853</v>
      </c>
      <c r="J54" s="10">
        <v>2993</v>
      </c>
      <c r="K54" s="169">
        <v>1309</v>
      </c>
      <c r="L54" s="10">
        <f t="shared" si="2"/>
        <v>2618</v>
      </c>
      <c r="M54" s="10">
        <v>2500</v>
      </c>
      <c r="N54" s="10">
        <v>2500</v>
      </c>
      <c r="O54" s="10">
        <v>2500</v>
      </c>
      <c r="P54" s="10">
        <v>2500</v>
      </c>
    </row>
    <row r="55" spans="1:16" ht="12.75" hidden="1">
      <c r="A55" s="11" t="s">
        <v>225</v>
      </c>
      <c r="B55" s="9">
        <v>52.3602</v>
      </c>
      <c r="C55" s="10">
        <v>75</v>
      </c>
      <c r="D55" s="10"/>
      <c r="E55" s="10"/>
      <c r="F55" s="10"/>
      <c r="G55" s="10"/>
      <c r="H55" s="10"/>
      <c r="I55" s="10"/>
      <c r="J55" s="10"/>
      <c r="L55" s="10">
        <f t="shared" si="2"/>
        <v>0</v>
      </c>
      <c r="M55" s="10"/>
      <c r="N55" s="10"/>
      <c r="O55" s="10"/>
      <c r="P55" s="10"/>
    </row>
    <row r="56" spans="1:16" ht="12.75">
      <c r="A56" s="11" t="s">
        <v>182</v>
      </c>
      <c r="B56" s="9">
        <v>52.37</v>
      </c>
      <c r="C56" s="10"/>
      <c r="D56" s="10"/>
      <c r="E56" s="10">
        <v>116</v>
      </c>
      <c r="F56" s="10">
        <v>1254</v>
      </c>
      <c r="G56" s="10">
        <v>338</v>
      </c>
      <c r="H56" s="10">
        <v>376</v>
      </c>
      <c r="I56" s="10">
        <v>428</v>
      </c>
      <c r="J56" s="10"/>
      <c r="K56" s="10">
        <v>100</v>
      </c>
      <c r="L56" s="10">
        <f t="shared" si="2"/>
        <v>200</v>
      </c>
      <c r="M56" s="10">
        <v>400</v>
      </c>
      <c r="N56" s="10">
        <v>400</v>
      </c>
      <c r="O56" s="10">
        <v>400</v>
      </c>
      <c r="P56" s="10">
        <v>400</v>
      </c>
    </row>
    <row r="57" spans="1:16" ht="12.75">
      <c r="A57" s="11" t="s">
        <v>47</v>
      </c>
      <c r="B57" s="9">
        <v>53.12</v>
      </c>
      <c r="C57" s="10"/>
      <c r="D57" s="10"/>
      <c r="E57" s="10"/>
      <c r="F57" s="10">
        <v>100</v>
      </c>
      <c r="G57" s="10">
        <v>600</v>
      </c>
      <c r="H57" s="10"/>
      <c r="I57" s="10"/>
      <c r="J57" s="10"/>
      <c r="K57" s="10"/>
      <c r="L57" s="10">
        <f t="shared" si="2"/>
        <v>0</v>
      </c>
      <c r="M57" s="10"/>
      <c r="N57" s="10"/>
      <c r="O57" s="10"/>
      <c r="P57" s="10"/>
    </row>
    <row r="58" spans="1:16" ht="12.75">
      <c r="A58" s="11" t="s">
        <v>226</v>
      </c>
      <c r="B58" s="9">
        <v>53.1704</v>
      </c>
      <c r="C58" s="10"/>
      <c r="D58" s="10"/>
      <c r="E58" s="10"/>
      <c r="F58" s="10"/>
      <c r="G58" s="10">
        <v>632</v>
      </c>
      <c r="H58" s="10"/>
      <c r="I58" s="10"/>
      <c r="J58" s="10"/>
      <c r="L58" s="10">
        <f t="shared" si="2"/>
        <v>0</v>
      </c>
      <c r="M58" s="10"/>
      <c r="N58" s="10"/>
      <c r="O58" s="10"/>
      <c r="P58" s="10"/>
    </row>
    <row r="59" spans="1:16" ht="12.75">
      <c r="A59" s="11" t="s">
        <v>100</v>
      </c>
      <c r="B59" s="9">
        <v>53.171</v>
      </c>
      <c r="C59" s="86"/>
      <c r="D59" s="86"/>
      <c r="E59" s="86"/>
      <c r="F59" s="10">
        <v>425</v>
      </c>
      <c r="G59" s="10"/>
      <c r="H59" s="10">
        <v>610</v>
      </c>
      <c r="I59" s="10">
        <v>34</v>
      </c>
      <c r="J59" s="10">
        <v>278</v>
      </c>
      <c r="K59" s="169">
        <v>255</v>
      </c>
      <c r="L59" s="10">
        <f t="shared" si="2"/>
        <v>510</v>
      </c>
      <c r="M59" s="10">
        <v>300</v>
      </c>
      <c r="N59" s="10">
        <v>300</v>
      </c>
      <c r="O59" s="10">
        <v>300</v>
      </c>
      <c r="P59" s="10">
        <v>300</v>
      </c>
    </row>
    <row r="60" spans="1:16" ht="12.75">
      <c r="A60" s="11" t="s">
        <v>227</v>
      </c>
      <c r="B60" s="9">
        <v>54.25</v>
      </c>
      <c r="C60" s="86"/>
      <c r="D60" s="86"/>
      <c r="E60" s="86"/>
      <c r="F60" s="86"/>
      <c r="G60" s="10">
        <v>890</v>
      </c>
      <c r="H60" s="10"/>
      <c r="I60" s="10"/>
      <c r="J60" s="10"/>
      <c r="K60" s="10"/>
      <c r="L60" s="10">
        <f t="shared" si="2"/>
        <v>0</v>
      </c>
      <c r="M60" s="85"/>
      <c r="N60" s="85"/>
      <c r="O60" s="85"/>
      <c r="P60" s="85"/>
    </row>
    <row r="61" spans="1:17" ht="12.75">
      <c r="A61" s="11" t="s">
        <v>414</v>
      </c>
      <c r="B61" s="9"/>
      <c r="C61" s="86"/>
      <c r="D61" s="86"/>
      <c r="E61" s="86"/>
      <c r="F61" s="86"/>
      <c r="G61" s="10"/>
      <c r="H61" s="10"/>
      <c r="I61" s="10"/>
      <c r="J61" s="10"/>
      <c r="K61" s="10">
        <v>55000</v>
      </c>
      <c r="L61" s="10">
        <v>55000</v>
      </c>
      <c r="M61" s="85">
        <v>55000</v>
      </c>
      <c r="N61" s="85"/>
      <c r="O61" s="85"/>
      <c r="P61" s="85"/>
      <c r="Q61" t="s">
        <v>243</v>
      </c>
    </row>
    <row r="62" spans="1:17" ht="12.75">
      <c r="A62" s="11" t="s">
        <v>415</v>
      </c>
      <c r="B62" s="9"/>
      <c r="C62" s="86"/>
      <c r="D62" s="86"/>
      <c r="E62" s="86"/>
      <c r="F62" s="86"/>
      <c r="G62" s="10"/>
      <c r="H62" s="10"/>
      <c r="I62" s="10"/>
      <c r="J62" s="10"/>
      <c r="K62" s="10">
        <v>55000</v>
      </c>
      <c r="L62" s="10">
        <v>55000</v>
      </c>
      <c r="M62" s="85">
        <v>55000</v>
      </c>
      <c r="N62" s="85"/>
      <c r="O62" s="85"/>
      <c r="P62" s="85"/>
      <c r="Q62" t="s">
        <v>243</v>
      </c>
    </row>
    <row r="63" spans="1:17" ht="12.75">
      <c r="A63" s="11" t="s">
        <v>416</v>
      </c>
      <c r="B63" s="9"/>
      <c r="C63" s="86"/>
      <c r="D63" s="86"/>
      <c r="E63" s="86"/>
      <c r="F63" s="86"/>
      <c r="G63" s="10"/>
      <c r="H63" s="10"/>
      <c r="I63" s="10"/>
      <c r="J63" s="10"/>
      <c r="K63" s="10">
        <v>1807</v>
      </c>
      <c r="L63" s="10"/>
      <c r="M63" s="85">
        <f>0.2*(M21+M16+M11)</f>
        <v>2360</v>
      </c>
      <c r="N63" s="85">
        <f>0.2*(N21+N16+N11)</f>
        <v>2360</v>
      </c>
      <c r="O63" s="85">
        <f>0.2*(O21+O16+O11)</f>
        <v>2360</v>
      </c>
      <c r="P63" s="85">
        <f>0.2*(P21+P16+P11)</f>
        <v>2360</v>
      </c>
      <c r="Q63" t="s">
        <v>239</v>
      </c>
    </row>
    <row r="64" spans="1:17" ht="12.75">
      <c r="A64" s="11" t="s">
        <v>417</v>
      </c>
      <c r="B64" s="9">
        <v>57.1005</v>
      </c>
      <c r="C64" s="86"/>
      <c r="D64" s="86"/>
      <c r="E64" s="86"/>
      <c r="F64" s="86"/>
      <c r="G64" s="10"/>
      <c r="H64" s="10"/>
      <c r="I64" s="10">
        <v>5795</v>
      </c>
      <c r="J64" s="10">
        <v>7626</v>
      </c>
      <c r="K64" s="10">
        <v>3217</v>
      </c>
      <c r="L64" s="10">
        <f>+K64/$K$3*12</f>
        <v>6434</v>
      </c>
      <c r="M64" s="85">
        <f>0.4*(M21+M16+M11)</f>
        <v>4720</v>
      </c>
      <c r="N64" s="85">
        <f>0.4*(N21+N16+N11)</f>
        <v>4720</v>
      </c>
      <c r="O64" s="85">
        <f>0.4*(O21+O16+O11)</f>
        <v>4720</v>
      </c>
      <c r="P64" s="85">
        <f>0.4*(P21+P16+P11)</f>
        <v>4720</v>
      </c>
      <c r="Q64" t="s">
        <v>239</v>
      </c>
    </row>
    <row r="65" spans="1:19" ht="12.75">
      <c r="A65" s="11" t="s">
        <v>438</v>
      </c>
      <c r="C65" s="10"/>
      <c r="D65" s="10"/>
      <c r="E65" s="10"/>
      <c r="F65" s="10">
        <v>929</v>
      </c>
      <c r="G65" s="10">
        <v>3099</v>
      </c>
      <c r="H65" s="10"/>
      <c r="I65" s="10">
        <v>29</v>
      </c>
      <c r="J65" s="10"/>
      <c r="K65" s="10">
        <v>8656</v>
      </c>
      <c r="L65" s="10">
        <f>+K65/$K$3*12</f>
        <v>17312</v>
      </c>
      <c r="M65" s="10"/>
      <c r="N65" s="10"/>
      <c r="O65" s="10"/>
      <c r="P65" s="10"/>
      <c r="S65" s="85"/>
    </row>
    <row r="66" spans="3:16" ht="12.75">
      <c r="C66" s="10"/>
      <c r="D66" s="10"/>
      <c r="E66" s="10"/>
      <c r="F66" s="10">
        <v>929</v>
      </c>
      <c r="G66" s="10">
        <v>3099</v>
      </c>
      <c r="H66" s="10"/>
      <c r="I66" s="10">
        <v>29</v>
      </c>
      <c r="J66" s="10"/>
      <c r="L66" s="10">
        <f>+K66/$K$3*12</f>
        <v>0</v>
      </c>
      <c r="M66" s="10"/>
      <c r="N66" s="10"/>
      <c r="O66" s="85"/>
      <c r="P66" s="10"/>
    </row>
    <row r="67" spans="1:16" ht="12.75">
      <c r="A67" s="131" t="s">
        <v>103</v>
      </c>
      <c r="B67" s="1"/>
      <c r="C67" s="12">
        <f>SUM(C44:C66)</f>
        <v>25946</v>
      </c>
      <c r="D67" s="12">
        <f>SUM(D44:D66)</f>
        <v>0</v>
      </c>
      <c r="E67" s="12">
        <f>SUM(E44:E66)</f>
        <v>29642</v>
      </c>
      <c r="F67" s="12">
        <v>32628</v>
      </c>
      <c r="G67" s="12">
        <v>51571</v>
      </c>
      <c r="H67" s="12">
        <v>41313</v>
      </c>
      <c r="I67" s="12">
        <v>73545</v>
      </c>
      <c r="J67" s="12">
        <v>77660</v>
      </c>
      <c r="K67" s="12">
        <f aca="true" t="shared" si="3" ref="K67:P67">SUM(K44:K66)</f>
        <v>161684</v>
      </c>
      <c r="L67" s="12">
        <f t="shared" si="3"/>
        <v>206392</v>
      </c>
      <c r="M67" s="12">
        <f t="shared" si="3"/>
        <v>229102.3</v>
      </c>
      <c r="N67" s="12">
        <f t="shared" si="3"/>
        <v>119102.3</v>
      </c>
      <c r="O67" s="12">
        <f t="shared" si="3"/>
        <v>119102.3</v>
      </c>
      <c r="P67" s="12">
        <f t="shared" si="3"/>
        <v>119102.3</v>
      </c>
    </row>
    <row r="68" spans="1:16" ht="12.75">
      <c r="A68" s="131"/>
      <c r="B68" s="1"/>
      <c r="C68" s="133"/>
      <c r="D68" s="133"/>
      <c r="E68" s="133"/>
      <c r="F68" s="133"/>
      <c r="G68" s="133"/>
      <c r="H68" s="133"/>
      <c r="I68" s="133"/>
      <c r="J68" s="133"/>
      <c r="M68" s="133"/>
      <c r="N68" s="133"/>
      <c r="O68" s="134"/>
      <c r="P68" s="133"/>
    </row>
    <row r="69" spans="3:19" ht="12.75">
      <c r="C69" s="10"/>
      <c r="D69" s="10"/>
      <c r="E69" s="10"/>
      <c r="F69" s="10"/>
      <c r="G69" s="10"/>
      <c r="H69" s="10"/>
      <c r="I69" s="10"/>
      <c r="J69" s="10"/>
      <c r="M69" s="10"/>
      <c r="N69" s="10"/>
      <c r="O69" s="10"/>
      <c r="P69" s="10"/>
      <c r="R69" s="99"/>
      <c r="S69" s="104"/>
    </row>
    <row r="71" spans="1:19" s="99" customFormat="1" ht="12.75">
      <c r="A71" s="140" t="s">
        <v>273</v>
      </c>
      <c r="B71" s="100"/>
      <c r="C71" s="115">
        <v>-86605</v>
      </c>
      <c r="D71" s="115"/>
      <c r="E71" s="115">
        <f>E42-E67</f>
        <v>29208</v>
      </c>
      <c r="F71" s="115">
        <v>3143</v>
      </c>
      <c r="G71" s="115">
        <v>-9821</v>
      </c>
      <c r="H71" s="115">
        <v>-5962</v>
      </c>
      <c r="I71" s="115">
        <v>-24336</v>
      </c>
      <c r="J71" s="115">
        <f aca="true" t="shared" si="4" ref="J71:P71">J42-J67</f>
        <v>38102</v>
      </c>
      <c r="K71" s="115">
        <f t="shared" si="4"/>
        <v>-137791</v>
      </c>
      <c r="L71" s="115">
        <f t="shared" si="4"/>
        <v>-158746</v>
      </c>
      <c r="M71" s="115">
        <f t="shared" si="4"/>
        <v>-190302.3</v>
      </c>
      <c r="N71" s="115">
        <f t="shared" si="4"/>
        <v>-80302.3</v>
      </c>
      <c r="O71" s="115">
        <f t="shared" si="4"/>
        <v>-80302.3</v>
      </c>
      <c r="P71" s="115">
        <f t="shared" si="4"/>
        <v>-80302.3</v>
      </c>
      <c r="Q71" s="127"/>
      <c r="R71"/>
      <c r="S71" s="221"/>
    </row>
    <row r="72" spans="5:10" ht="12.75">
      <c r="E72" s="1"/>
      <c r="F72" s="1"/>
      <c r="G72" s="1"/>
      <c r="H72" s="1"/>
      <c r="I72" s="1"/>
      <c r="J72" s="1"/>
    </row>
    <row r="73" spans="1:8" ht="12.75">
      <c r="A73" s="69" t="s">
        <v>250</v>
      </c>
      <c r="B73" s="71"/>
      <c r="H73" s="95">
        <v>167828</v>
      </c>
    </row>
    <row r="74" spans="1:10" ht="12.75">
      <c r="A74" s="69" t="s">
        <v>252</v>
      </c>
      <c r="B74" s="72"/>
      <c r="H74" s="95">
        <v>238227</v>
      </c>
      <c r="I74" s="157">
        <v>70399</v>
      </c>
      <c r="J74" s="148">
        <v>0.2955122635133717</v>
      </c>
    </row>
    <row r="75" spans="1:10" ht="12.75">
      <c r="A75" s="69" t="s">
        <v>251</v>
      </c>
      <c r="B75" s="71"/>
      <c r="H75" s="95">
        <v>264230</v>
      </c>
      <c r="I75" s="157">
        <v>26003</v>
      </c>
      <c r="J75" s="148">
        <v>0.09841047572190895</v>
      </c>
    </row>
    <row r="76" spans="1:10" ht="12.75">
      <c r="A76" s="69" t="s">
        <v>275</v>
      </c>
      <c r="H76" s="136">
        <v>267373</v>
      </c>
      <c r="I76" s="157">
        <v>3143</v>
      </c>
      <c r="J76" s="148">
        <v>0.011755113642738796</v>
      </c>
    </row>
    <row r="77" spans="1:10" ht="12.75">
      <c r="A77" s="69" t="s">
        <v>281</v>
      </c>
      <c r="H77" s="136">
        <v>257552</v>
      </c>
      <c r="I77" s="157">
        <v>-9821</v>
      </c>
      <c r="J77" s="148">
        <v>-0.038132105361247434</v>
      </c>
    </row>
    <row r="78" spans="1:10" ht="12.75">
      <c r="A78" s="69" t="s">
        <v>320</v>
      </c>
      <c r="H78" s="136">
        <v>251590</v>
      </c>
      <c r="I78" s="157">
        <v>-5962</v>
      </c>
      <c r="J78" s="148">
        <v>-0.023697285265710084</v>
      </c>
    </row>
    <row r="79" spans="1:10" ht="12.75">
      <c r="A79" s="69" t="s">
        <v>363</v>
      </c>
      <c r="H79" s="136">
        <v>227254</v>
      </c>
      <c r="I79" s="157">
        <v>-24336</v>
      </c>
      <c r="J79" s="148">
        <v>-0.10708722398725655</v>
      </c>
    </row>
    <row r="80" spans="1:10" ht="12.75">
      <c r="A80" s="69" t="s">
        <v>429</v>
      </c>
      <c r="H80" s="136">
        <f>H79+J71</f>
        <v>265356</v>
      </c>
      <c r="I80" s="157">
        <v>38102</v>
      </c>
      <c r="J80" s="148">
        <v>0.14358823618082878</v>
      </c>
    </row>
    <row r="81" spans="1:10" ht="12.75">
      <c r="A81" s="69" t="s">
        <v>356</v>
      </c>
      <c r="E81" s="1"/>
      <c r="F81" s="1"/>
      <c r="H81" s="136">
        <f>H80+M71</f>
        <v>75053.70000000001</v>
      </c>
      <c r="I81" s="157">
        <f>H81-H80</f>
        <v>-190302.3</v>
      </c>
      <c r="J81" s="148">
        <f>I81/H81</f>
        <v>-2.5355485472401753</v>
      </c>
    </row>
    <row r="82" spans="1:10" ht="12.75">
      <c r="A82" s="69" t="s">
        <v>359</v>
      </c>
      <c r="E82" s="1"/>
      <c r="F82" s="1"/>
      <c r="H82" s="136">
        <f>H81+P71</f>
        <v>-5248.599999999991</v>
      </c>
      <c r="I82" s="157">
        <f>H82-H81</f>
        <v>-80302.3</v>
      </c>
      <c r="J82" s="148">
        <f>I82/H82</f>
        <v>15.299756125443002</v>
      </c>
    </row>
    <row r="84" ht="12.75">
      <c r="A84" s="1" t="s">
        <v>308</v>
      </c>
    </row>
    <row r="85" ht="12.75">
      <c r="A85" t="s">
        <v>418</v>
      </c>
    </row>
    <row r="86" ht="12.75">
      <c r="A86" t="s">
        <v>419</v>
      </c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scale="89" r:id="rId1"/>
  <headerFooter alignWithMargins="0">
    <oddHeader>&amp;CFY09 Special Revenue Funds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F38" sqref="F38"/>
    </sheetView>
  </sheetViews>
  <sheetFormatPr defaultColWidth="9.140625" defaultRowHeight="12.75"/>
  <cols>
    <col min="1" max="1" width="34.00390625" style="0" customWidth="1"/>
    <col min="2" max="2" width="8.28125" style="0" bestFit="1" customWidth="1"/>
    <col min="3" max="4" width="11.8515625" style="0" customWidth="1"/>
    <col min="5" max="5" width="10.7109375" style="0" bestFit="1" customWidth="1"/>
    <col min="6" max="6" width="10.421875" style="0" bestFit="1" customWidth="1"/>
    <col min="7" max="7" width="10.7109375" style="0" customWidth="1"/>
  </cols>
  <sheetData>
    <row r="1" spans="1:2" ht="12.75">
      <c r="A1" t="s">
        <v>0</v>
      </c>
      <c r="B1">
        <v>2008</v>
      </c>
    </row>
    <row r="2" ht="12.75">
      <c r="A2" s="1" t="s">
        <v>229</v>
      </c>
    </row>
    <row r="4" spans="3:6" ht="12.75">
      <c r="C4" s="143" t="s">
        <v>253</v>
      </c>
      <c r="D4" s="143" t="s">
        <v>269</v>
      </c>
      <c r="E4" s="143" t="s">
        <v>256</v>
      </c>
      <c r="F4" s="5" t="s">
        <v>5</v>
      </c>
    </row>
    <row r="5" spans="3:6" ht="12.75">
      <c r="C5" s="143" t="s">
        <v>254</v>
      </c>
      <c r="D5" s="143" t="s">
        <v>270</v>
      </c>
      <c r="E5" s="143" t="s">
        <v>8</v>
      </c>
      <c r="F5" s="5" t="s">
        <v>11</v>
      </c>
    </row>
    <row r="6" spans="1:7" ht="13.5" thickBot="1">
      <c r="A6" t="s">
        <v>12</v>
      </c>
      <c r="C6" s="6" t="s">
        <v>255</v>
      </c>
      <c r="D6" s="6" t="s">
        <v>271</v>
      </c>
      <c r="E6" s="6">
        <v>2008</v>
      </c>
      <c r="F6" s="6">
        <v>2008</v>
      </c>
      <c r="G6" s="5" t="s">
        <v>13</v>
      </c>
    </row>
    <row r="7" spans="1:6" ht="12.75">
      <c r="A7" s="130" t="s">
        <v>33</v>
      </c>
      <c r="C7" s="10"/>
      <c r="D7" s="10"/>
      <c r="E7" s="10"/>
      <c r="F7" s="10"/>
    </row>
    <row r="8" spans="1:7" ht="12.75">
      <c r="A8" s="11" t="s">
        <v>392</v>
      </c>
      <c r="B8" s="9"/>
      <c r="C8" s="10">
        <v>500000</v>
      </c>
      <c r="D8" s="10"/>
      <c r="E8" s="85"/>
      <c r="F8" s="10" t="s">
        <v>201</v>
      </c>
      <c r="G8" s="10"/>
    </row>
    <row r="9" spans="2:7" ht="12.75">
      <c r="B9" s="9"/>
      <c r="C9" s="10"/>
      <c r="D9" s="10"/>
      <c r="E9" s="85"/>
      <c r="F9" s="10"/>
      <c r="G9" s="10"/>
    </row>
    <row r="10" spans="1:7" ht="12.75">
      <c r="A10" s="11"/>
      <c r="B10" s="9"/>
      <c r="C10" s="10"/>
      <c r="D10" s="10"/>
      <c r="E10" s="85"/>
      <c r="F10" s="10"/>
      <c r="G10" s="10"/>
    </row>
    <row r="11" spans="1:7" ht="12.75">
      <c r="A11" s="11"/>
      <c r="B11" s="9"/>
      <c r="C11" s="10"/>
      <c r="D11" s="10"/>
      <c r="E11" s="85"/>
      <c r="F11" s="10"/>
      <c r="G11" s="10"/>
    </row>
    <row r="12" spans="1:7" ht="12.75">
      <c r="A12" s="11"/>
      <c r="B12" s="9"/>
      <c r="C12" s="10"/>
      <c r="D12" s="10"/>
      <c r="E12" s="85"/>
      <c r="F12" s="10"/>
      <c r="G12" s="10"/>
    </row>
    <row r="13" spans="1:7" ht="12.75">
      <c r="A13" s="11"/>
      <c r="B13" s="9"/>
      <c r="C13" s="10"/>
      <c r="D13" s="10"/>
      <c r="E13" s="85"/>
      <c r="F13" s="10"/>
      <c r="G13" s="10"/>
    </row>
    <row r="14" spans="1:7" ht="12.75">
      <c r="A14" s="11"/>
      <c r="B14" s="9"/>
      <c r="C14" s="10"/>
      <c r="D14" s="10"/>
      <c r="E14" s="85"/>
      <c r="F14" s="10"/>
      <c r="G14" s="10"/>
    </row>
    <row r="15" spans="2:6" ht="12.75">
      <c r="B15" s="9"/>
      <c r="C15" s="10"/>
      <c r="D15" s="10"/>
      <c r="E15" s="85"/>
      <c r="F15" s="10"/>
    </row>
    <row r="16" spans="1:12" ht="12.75">
      <c r="A16" s="132" t="s">
        <v>19</v>
      </c>
      <c r="B16" s="9"/>
      <c r="C16" s="12">
        <f>SUM(C8:C15)</f>
        <v>500000</v>
      </c>
      <c r="D16" s="12">
        <f>SUM(D8:D15)</f>
        <v>0</v>
      </c>
      <c r="E16" s="12">
        <f>SUM(E8:E15)</f>
        <v>0</v>
      </c>
      <c r="F16" s="12">
        <f>SUM(F8:F15)</f>
        <v>0</v>
      </c>
      <c r="L16" s="129"/>
    </row>
    <row r="17" spans="1:6" ht="12.75">
      <c r="A17" s="132"/>
      <c r="B17" s="9"/>
      <c r="C17" s="133"/>
      <c r="D17" s="133"/>
      <c r="E17" s="133"/>
      <c r="F17" s="133"/>
    </row>
    <row r="18" spans="1:6" ht="12.75">
      <c r="A18" s="130" t="s">
        <v>97</v>
      </c>
      <c r="B18" s="9"/>
      <c r="C18" s="10"/>
      <c r="D18" s="10"/>
      <c r="E18" s="85"/>
      <c r="F18" s="10"/>
    </row>
    <row r="19" spans="1:6" ht="12.75">
      <c r="A19" s="8"/>
      <c r="B19" s="9"/>
      <c r="C19" s="10"/>
      <c r="D19" s="10"/>
      <c r="E19" s="85"/>
      <c r="F19" s="10"/>
    </row>
    <row r="20" spans="1:6" ht="12.75">
      <c r="A20" s="154" t="s">
        <v>392</v>
      </c>
      <c r="B20" s="9"/>
      <c r="C20" s="10">
        <v>500000</v>
      </c>
      <c r="D20" s="10"/>
      <c r="E20" s="85"/>
      <c r="F20" s="10"/>
    </row>
    <row r="21" spans="1:6" ht="12.75">
      <c r="A21" s="16"/>
      <c r="B21" s="9"/>
      <c r="C21" s="10"/>
      <c r="D21" s="10"/>
      <c r="E21" s="85"/>
      <c r="F21" s="10"/>
    </row>
    <row r="22" spans="1:6" ht="12.75">
      <c r="A22" s="11"/>
      <c r="B22" s="9"/>
      <c r="C22" s="10"/>
      <c r="D22" s="10"/>
      <c r="E22" s="85"/>
      <c r="F22" s="10"/>
    </row>
    <row r="23" spans="1:6" ht="12.75">
      <c r="A23" s="16"/>
      <c r="B23" s="9"/>
      <c r="C23" s="85"/>
      <c r="D23" s="85"/>
      <c r="E23" s="85"/>
      <c r="F23" s="10"/>
    </row>
    <row r="24" spans="1:6" ht="12.75">
      <c r="A24" s="11"/>
      <c r="B24" s="9"/>
      <c r="C24" s="10"/>
      <c r="D24" s="10"/>
      <c r="E24" s="85"/>
      <c r="F24" s="10"/>
    </row>
    <row r="25" spans="1:6" ht="12.75">
      <c r="A25" s="16"/>
      <c r="B25" s="9"/>
      <c r="C25" s="10"/>
      <c r="D25" s="10"/>
      <c r="E25" s="85"/>
      <c r="F25" s="10"/>
    </row>
    <row r="26" spans="1:6" ht="12.75">
      <c r="A26" s="11"/>
      <c r="B26" s="9"/>
      <c r="C26" s="10"/>
      <c r="D26" s="10"/>
      <c r="E26" s="85"/>
      <c r="F26" s="10"/>
    </row>
    <row r="27" spans="1:6" ht="12.75">
      <c r="A27" s="11"/>
      <c r="B27" s="9"/>
      <c r="C27" s="10"/>
      <c r="D27" s="10"/>
      <c r="E27" s="85"/>
      <c r="F27" s="10"/>
    </row>
    <row r="28" spans="1:6" ht="12.75">
      <c r="A28" s="11"/>
      <c r="B28" s="9"/>
      <c r="C28" s="10"/>
      <c r="D28" s="10"/>
      <c r="E28" s="85"/>
      <c r="F28" s="10"/>
    </row>
    <row r="29" spans="1:6" ht="12.75">
      <c r="A29" s="11"/>
      <c r="B29" s="9"/>
      <c r="C29" s="10"/>
      <c r="D29" s="10"/>
      <c r="E29" s="85"/>
      <c r="F29" s="10"/>
    </row>
    <row r="30" spans="1:6" ht="12.75">
      <c r="A30" s="11"/>
      <c r="B30" s="9"/>
      <c r="C30" s="10"/>
      <c r="D30" s="10"/>
      <c r="E30" s="85"/>
      <c r="F30" s="10"/>
    </row>
    <row r="31" spans="1:6" ht="12.75">
      <c r="A31" s="11"/>
      <c r="B31" s="9"/>
      <c r="C31" s="10"/>
      <c r="D31" s="10"/>
      <c r="E31" s="85"/>
      <c r="F31" s="10"/>
    </row>
    <row r="32" spans="2:6" ht="12.75">
      <c r="B32" s="9"/>
      <c r="C32" s="10"/>
      <c r="D32" s="10"/>
      <c r="E32" s="85"/>
      <c r="F32" s="10"/>
    </row>
    <row r="33" spans="1:6" ht="12.75">
      <c r="A33" s="130" t="s">
        <v>103</v>
      </c>
      <c r="B33" s="1"/>
      <c r="C33" s="12">
        <f>SUM(C21:C32)</f>
        <v>0</v>
      </c>
      <c r="D33" s="12">
        <f>SUM(D21:D32)</f>
        <v>0</v>
      </c>
      <c r="E33" s="12">
        <f>SUM(E21:E32)</f>
        <v>0</v>
      </c>
      <c r="F33" s="12">
        <f>SUM(F21:F32)</f>
        <v>0</v>
      </c>
    </row>
    <row r="34" spans="1:6" ht="12.75">
      <c r="A34" s="131"/>
      <c r="B34" s="1"/>
      <c r="C34" s="133"/>
      <c r="D34" s="133"/>
      <c r="E34" s="134"/>
      <c r="F34" s="133"/>
    </row>
    <row r="35" spans="1:6" ht="12.75">
      <c r="A35" s="131"/>
      <c r="B35" s="1"/>
      <c r="C35" s="133"/>
      <c r="D35" s="133"/>
      <c r="E35" s="134"/>
      <c r="F35" s="133"/>
    </row>
    <row r="38" ht="12.75">
      <c r="B38" s="153"/>
    </row>
  </sheetData>
  <printOptions horizontalCentered="1" verticalCentered="1"/>
  <pageMargins left="0.25" right="0.25" top="1" bottom="1" header="0.5" footer="0.5"/>
  <pageSetup fitToHeight="2" fitToWidth="1" horizontalDpi="600" verticalDpi="600" orientation="landscape" r:id="rId1"/>
  <headerFooter alignWithMargins="0">
    <oddHeader>&amp;CFY09 Special Revenue Funds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Hart County Board of Commissioners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 County Administrator</dc:creator>
  <cp:keywords/>
  <dc:description/>
  <cp:lastModifiedBy>Lisa</cp:lastModifiedBy>
  <cp:lastPrinted>2008-10-01T15:12:23Z</cp:lastPrinted>
  <dcterms:created xsi:type="dcterms:W3CDTF">2003-06-20T15:41:29Z</dcterms:created>
  <dcterms:modified xsi:type="dcterms:W3CDTF">2008-10-02T12:46:37Z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1736567434</vt:i4>
  </property>
  <property fmtid="{D5CDD505-2E9C-101B-9397-08002B2CF9AE}" pid="3" name="_EmailSubject">
    <vt:lpwstr>special revenue funds final fy09</vt:lpwstr>
  </property>
  <property fmtid="{D5CDD505-2E9C-101B-9397-08002B2CF9AE}" pid="4" name="_AuthorEmail">
    <vt:lpwstr>pwdirector@hartcom.net</vt:lpwstr>
  </property>
  <property fmtid="{D5CDD505-2E9C-101B-9397-08002B2CF9AE}" pid="5" name="_AuthorEmailDisplayName">
    <vt:lpwstr>Jon Caime</vt:lpwstr>
  </property>
  <property fmtid="{D5CDD505-2E9C-101B-9397-08002B2CF9AE}" pid="6" name="_ReviewingToolsShownOnce">
    <vt:lpwstr/>
  </property>
</Properties>
</file>