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0095" windowHeight="6510" tabRatio="727" firstSheet="1" activeTab="1"/>
  </bookViews>
  <sheets>
    <sheet name="Department Nos." sheetId="1" r:id="rId1"/>
    <sheet name="GF10000" sheetId="2" r:id="rId2"/>
    <sheet name="GF13000" sheetId="3" r:id="rId3"/>
    <sheet name="GF14000" sheetId="4" r:id="rId4"/>
    <sheet name="GF14100" sheetId="5" r:id="rId5"/>
    <sheet name="GF15300" sheetId="6" r:id="rId6"/>
    <sheet name="GF15450" sheetId="7" r:id="rId7"/>
    <sheet name="GF15500" sheetId="8" r:id="rId8"/>
    <sheet name="GF15550" sheetId="9" r:id="rId9"/>
    <sheet name="GF15600" sheetId="10" r:id="rId10"/>
    <sheet name="GF15650" sheetId="11" r:id="rId11"/>
    <sheet name="GF15950" sheetId="12" r:id="rId12"/>
    <sheet name="GF21500" sheetId="13" r:id="rId13"/>
    <sheet name="GF21800" sheetId="14" r:id="rId14"/>
    <sheet name="GF22000" sheetId="15" r:id="rId15"/>
    <sheet name="GF24000" sheetId="16" r:id="rId16"/>
    <sheet name="GF24500" sheetId="17" r:id="rId17"/>
    <sheet name="GF26000" sheetId="18" r:id="rId18"/>
    <sheet name="GF27000" sheetId="19" r:id="rId19"/>
    <sheet name="GF27500" sheetId="20" r:id="rId20"/>
    <sheet name="GF28000" sheetId="21" r:id="rId21"/>
    <sheet name="GF28100" sheetId="22" r:id="rId22"/>
    <sheet name="GF28110" sheetId="23" r:id="rId23"/>
    <sheet name="GF33000" sheetId="24" r:id="rId24"/>
    <sheet name="GF33260" sheetId="25" r:id="rId25"/>
    <sheet name="GF34200" sheetId="26" r:id="rId26"/>
    <sheet name="GF36000" sheetId="27" r:id="rId27"/>
    <sheet name="GF37000" sheetId="28" r:id="rId28"/>
    <sheet name="GF39100" sheetId="29" r:id="rId29"/>
    <sheet name="GF39200" sheetId="30" r:id="rId30"/>
    <sheet name="GF41000" sheetId="31" r:id="rId31"/>
    <sheet name="GF42000" sheetId="32" r:id="rId32"/>
    <sheet name="GF49000" sheetId="33" r:id="rId33"/>
    <sheet name="GF51000" sheetId="34" r:id="rId34"/>
    <sheet name="GF54000" sheetId="35" r:id="rId35"/>
    <sheet name="GF55200" sheetId="36" r:id="rId36"/>
    <sheet name="GF55400" sheetId="37" r:id="rId37"/>
    <sheet name="GF61000" sheetId="38" r:id="rId38"/>
    <sheet name="GF61900" sheetId="39" r:id="rId39"/>
    <sheet name="GF65100" sheetId="40" r:id="rId40"/>
    <sheet name="GF71300" sheetId="41" r:id="rId41"/>
    <sheet name="GF71400" sheetId="42" r:id="rId42"/>
    <sheet name="GF75000" sheetId="43" r:id="rId43"/>
    <sheet name="GF75630" sheetId="44" r:id="rId44"/>
    <sheet name="GF76300" sheetId="45" r:id="rId45"/>
    <sheet name="GF76400" sheetId="46" r:id="rId46"/>
  </sheets>
  <definedNames>
    <definedName name="_xlnm.Print_Titles" localSheetId="1">'GF10000'!$3:$6</definedName>
  </definedNames>
  <calcPr fullCalcOnLoad="1"/>
</workbook>
</file>

<file path=xl/comments14.xml><?xml version="1.0" encoding="utf-8"?>
<comments xmlns="http://schemas.openxmlformats.org/spreadsheetml/2006/main">
  <authors>
    <author>Hart County Administrator</author>
  </authors>
  <commentList>
    <comment ref="A15" authorId="0">
      <text>
        <r>
          <rPr>
            <sz val="8"/>
            <rFont val="Tahoma"/>
            <family val="2"/>
          </rPr>
          <t>copier maint</t>
        </r>
      </text>
    </comment>
    <comment ref="A14" authorId="0">
      <text>
        <r>
          <rPr>
            <sz val="8"/>
            <rFont val="Tahoma"/>
            <family val="2"/>
          </rPr>
          <t>Lease on Copiers</t>
        </r>
      </text>
    </comment>
    <comment ref="A16" authorId="0">
      <text>
        <r>
          <rPr>
            <sz val="8"/>
            <rFont val="Tahoma"/>
            <family val="2"/>
          </rPr>
          <t>software for deed records</t>
        </r>
      </text>
    </comment>
  </commentList>
</comments>
</file>

<file path=xl/comments2.xml><?xml version="1.0" encoding="utf-8"?>
<comments xmlns="http://schemas.openxmlformats.org/spreadsheetml/2006/main">
  <authors>
    <author> Jon Caime, County Administrator</author>
  </authors>
  <commentList>
    <comment ref="O24" authorId="0">
      <text>
        <r>
          <rPr>
            <b/>
            <sz val="8"/>
            <rFont val="Tahoma"/>
            <family val="0"/>
          </rPr>
          <t>131.25/mo</t>
        </r>
      </text>
    </comment>
  </commentList>
</comments>
</file>

<file path=xl/sharedStrings.xml><?xml version="1.0" encoding="utf-8"?>
<sst xmlns="http://schemas.openxmlformats.org/spreadsheetml/2006/main" count="2787" uniqueCount="778">
  <si>
    <t>note 1: Requested two additional employees</t>
  </si>
  <si>
    <t>virus Software</t>
  </si>
  <si>
    <t>requests two additional cars</t>
  </si>
  <si>
    <t>Copier</t>
  </si>
  <si>
    <t>note 5: request laptops, digital cameras, cellphones, lease additional office space</t>
  </si>
  <si>
    <t>requests employee full time</t>
  </si>
  <si>
    <t>Extra Wages Pres. Election</t>
  </si>
  <si>
    <t>courthouse</t>
  </si>
  <si>
    <t>note 2: searching for qualtiy used van, may be spent in FY08</t>
  </si>
  <si>
    <t>note 1: see alternate budget with deep cuts to balance budget</t>
  </si>
  <si>
    <t>note 3: cott replaced with wingap</t>
  </si>
  <si>
    <t>Ag Building HVAC</t>
  </si>
  <si>
    <t>courthouse HVAC</t>
  </si>
  <si>
    <t>BUDGET WORKSHEET FISCAL YEAR</t>
  </si>
  <si>
    <t>HART COUNTY GENERAL FUND</t>
  </si>
  <si>
    <t>ACTUAL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</si>
  <si>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</si>
  <si>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</si>
  <si>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</si>
  <si>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</si>
  <si>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</si>
  <si>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</si>
  <si>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</si>
  <si>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</si>
  <si>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</si>
  <si>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</si>
  <si>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EMA STATE GRANT</t>
  </si>
  <si>
    <t xml:space="preserve"> </t>
  </si>
  <si>
    <t>SENIOR CENTER MEALS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</si>
  <si>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</si>
  <si>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</si>
  <si>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</si>
  <si>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</si>
  <si>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</si>
  <si>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</si>
  <si>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</si>
  <si>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</si>
  <si>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</si>
  <si>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</si>
  <si>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</si>
  <si>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</si>
  <si>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</si>
  <si>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</si>
  <si>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</si>
  <si>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</si>
  <si>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</si>
  <si>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</si>
  <si>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</si>
  <si>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</si>
  <si>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</si>
  <si>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</si>
  <si>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Technical/Douglas software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</si>
  <si>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</si>
  <si>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</si>
  <si>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</si>
  <si>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</si>
  <si>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</si>
  <si>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</si>
  <si>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</si>
  <si>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</si>
  <si>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</si>
  <si>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</si>
  <si>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IKON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</si>
  <si>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</si>
  <si>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</si>
  <si>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</si>
  <si>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</si>
  <si>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</si>
  <si>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</si>
  <si>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</si>
  <si>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</si>
  <si>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</si>
  <si>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</si>
  <si>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</si>
  <si>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</si>
  <si>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</si>
  <si>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</si>
  <si>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</si>
  <si>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</si>
  <si>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</si>
  <si>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</si>
  <si>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</si>
  <si>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</si>
  <si>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</si>
  <si>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</si>
  <si>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</si>
  <si>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</si>
  <si>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</si>
  <si>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</si>
  <si>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</si>
  <si>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</si>
  <si>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</si>
  <si>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</si>
  <si>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</si>
  <si>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</si>
  <si>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</si>
  <si>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</si>
  <si>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</si>
  <si>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</si>
  <si>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</si>
  <si>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</si>
  <si>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</si>
  <si>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</si>
  <si>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Tech/IOS Capital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</si>
  <si>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</si>
  <si>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</si>
  <si>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</si>
  <si>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</si>
  <si>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</si>
  <si>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</si>
  <si>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</si>
  <si>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Jury script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</si>
  <si>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</si>
  <si>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</si>
  <si>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</si>
  <si>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</si>
  <si>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</si>
  <si>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</si>
  <si>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</si>
  <si>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</si>
  <si>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</si>
  <si>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</si>
  <si>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</si>
  <si>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</si>
  <si>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</si>
  <si>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</si>
  <si>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</si>
  <si>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</si>
  <si>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</si>
  <si>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</si>
  <si>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</si>
  <si>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</si>
  <si>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</si>
  <si>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</si>
  <si>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</si>
  <si>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</si>
  <si>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</si>
  <si>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</si>
  <si>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</si>
  <si>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</si>
  <si>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</si>
  <si>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</si>
  <si>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</si>
  <si>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</si>
  <si>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Technical/Douglas Software</t>
  </si>
  <si>
    <t>Site improvements</t>
  </si>
  <si>
    <t>Other supplies</t>
  </si>
  <si>
    <t>Capital/communication radios</t>
  </si>
  <si>
    <t>Highways &amp; Streets</t>
  </si>
  <si>
    <t>Bushhog R-O-W</t>
  </si>
  <si>
    <t>Misc road supplies</t>
  </si>
  <si>
    <t>Bldgs/grounds supplies</t>
  </si>
  <si>
    <t>Grader blades</t>
  </si>
  <si>
    <t>Machinery</t>
  </si>
  <si>
    <t>Office Supplies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</si>
  <si>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</si>
  <si>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</si>
  <si>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</si>
  <si>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</si>
  <si>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</si>
  <si>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</si>
  <si>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</si>
  <si>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</si>
  <si>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</si>
  <si>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</si>
  <si>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</si>
  <si>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</si>
  <si>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</si>
  <si>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</si>
  <si>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</si>
  <si>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</si>
  <si>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North Georgia MH/MR/SA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</si>
  <si>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</si>
  <si>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</si>
  <si>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</si>
  <si>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</si>
  <si>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</si>
  <si>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</si>
  <si>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</si>
  <si>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</si>
  <si>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</si>
  <si>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</si>
  <si>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</si>
  <si>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</si>
  <si>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</si>
  <si>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</si>
  <si>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</si>
  <si>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</si>
  <si>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</si>
  <si>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</si>
  <si>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</si>
  <si>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</si>
  <si>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</si>
  <si>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</si>
  <si>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</si>
  <si>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</si>
  <si>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</si>
  <si>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</si>
  <si>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</si>
  <si>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</si>
  <si>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</si>
  <si>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</si>
  <si>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</si>
  <si>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</si>
  <si>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</si>
  <si>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</si>
  <si>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</si>
  <si>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</si>
  <si>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</si>
  <si>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</si>
  <si>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</si>
  <si>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</si>
  <si>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</si>
  <si>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</si>
  <si>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</si>
  <si>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Misc</t>
  </si>
  <si>
    <t>Capital/vehicle</t>
  </si>
  <si>
    <t xml:space="preserve">Misc  </t>
  </si>
  <si>
    <t>Contingency pymts</t>
  </si>
  <si>
    <t>Other financing/Ind Bldg Auth ***</t>
  </si>
  <si>
    <t>CDBG Grant Admin</t>
  </si>
  <si>
    <t>DONATIONS/SENIOR CENTER</t>
  </si>
  <si>
    <t>Housekeeping</t>
  </si>
  <si>
    <t>Number of FT Authorized People</t>
  </si>
  <si>
    <t>Professional (Litigation)</t>
  </si>
  <si>
    <t>Auditor -General Fund</t>
  </si>
  <si>
    <t>Radios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</si>
  <si>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</si>
  <si>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</si>
  <si>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</si>
  <si>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</si>
  <si>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</si>
  <si>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</si>
  <si>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</si>
  <si>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</si>
  <si>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</si>
  <si>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</si>
  <si>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</si>
  <si>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</si>
  <si>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</si>
  <si>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</si>
  <si>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</si>
  <si>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</si>
  <si>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Pest</t>
  </si>
  <si>
    <t>Maintenance</t>
  </si>
  <si>
    <t>x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</si>
  <si>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</si>
  <si>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</si>
  <si>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</si>
  <si>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</si>
  <si>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</si>
  <si>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</si>
  <si>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</si>
  <si>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</si>
  <si>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</si>
  <si>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</si>
  <si>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</si>
  <si>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</si>
  <si>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</si>
  <si>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</si>
  <si>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</si>
  <si>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</si>
  <si>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</si>
  <si>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</si>
  <si>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</si>
  <si>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</si>
  <si>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</si>
  <si>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</si>
  <si>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</si>
  <si>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</si>
  <si>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</si>
  <si>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</si>
  <si>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</si>
  <si>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</si>
  <si>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</si>
  <si>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</si>
  <si>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</si>
  <si>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</si>
  <si>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</si>
  <si>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</si>
  <si>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</si>
  <si>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</si>
  <si>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</si>
  <si>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</si>
  <si>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</si>
  <si>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</si>
  <si>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</si>
  <si>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</si>
  <si>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</si>
  <si>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</t>
  </si>
  <si>
    <t>Alarm Monitoring</t>
  </si>
  <si>
    <t>See Revenue Account 34.1120 for matching revenue</t>
  </si>
  <si>
    <t>Elections 100.14000</t>
  </si>
  <si>
    <t>Board of Registrars  100.14100</t>
  </si>
  <si>
    <t>Executive (Board of Comm) 100.13000</t>
  </si>
  <si>
    <t>Approved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</si>
  <si>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</si>
  <si>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</si>
  <si>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</si>
  <si>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</si>
  <si>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</si>
  <si>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</si>
  <si>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</si>
  <si>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</si>
  <si>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</si>
  <si>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</si>
  <si>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</si>
  <si>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</si>
  <si>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</si>
  <si>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</si>
  <si>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</si>
  <si>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</si>
  <si>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</si>
  <si>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</si>
  <si>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</si>
  <si>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</si>
  <si>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</si>
  <si>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</si>
  <si>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</si>
  <si>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</si>
  <si>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</si>
  <si>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</si>
  <si>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</si>
  <si>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</si>
  <si>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</si>
  <si>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</si>
  <si>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</si>
  <si>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</si>
  <si>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</si>
  <si>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100.26000 Juvenile Court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</si>
  <si>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</si>
  <si>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</si>
  <si>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</si>
  <si>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</si>
  <si>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</si>
  <si>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</si>
  <si>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</si>
  <si>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</si>
  <si>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</si>
  <si>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</si>
  <si>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</si>
  <si>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</si>
  <si>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100.41000 Public Works</t>
  </si>
  <si>
    <t>Proj.</t>
  </si>
  <si>
    <t>100.42000.Highways &amp; Streets</t>
  </si>
  <si>
    <t>100.49000.Maint. Shop</t>
  </si>
  <si>
    <t>100.51000.Health Dept</t>
  </si>
  <si>
    <t>100.54000.Welfare/DFACS</t>
  </si>
  <si>
    <t>100.55200.Senior Center</t>
  </si>
  <si>
    <t>100.61000.Recreation</t>
  </si>
  <si>
    <t>100.61900.HYDRA</t>
  </si>
  <si>
    <t>100.65100.Library Administration</t>
  </si>
  <si>
    <t>100.71300.Agricultural Resources</t>
  </si>
  <si>
    <t>100.71400.Forest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</si>
  <si>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</si>
  <si>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</si>
  <si>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</si>
  <si>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</si>
  <si>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</si>
  <si>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</si>
  <si>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Health Insurance</t>
  </si>
  <si>
    <t>Board of Assessors</t>
  </si>
  <si>
    <t>Liability insurance/general</t>
  </si>
  <si>
    <t>GOHS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</si>
  <si>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</si>
  <si>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</si>
  <si>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</si>
  <si>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</si>
  <si>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</si>
  <si>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</si>
  <si>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</si>
  <si>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</si>
  <si>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</si>
  <si>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</si>
  <si>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</si>
  <si>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</si>
  <si>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</si>
  <si>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</si>
  <si>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Hangar Expansion</t>
  </si>
  <si>
    <t>Youth Softball Fees</t>
  </si>
  <si>
    <t>Dept.</t>
  </si>
  <si>
    <t>Tech/ICON</t>
  </si>
  <si>
    <t>Certification Fees</t>
  </si>
  <si>
    <t>Dues/Membership ACCG</t>
  </si>
  <si>
    <t>note1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</si>
  <si>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</si>
  <si>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</si>
  <si>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</si>
  <si>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</si>
  <si>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In Jail GF and 204 account</t>
  </si>
  <si>
    <t xml:space="preserve">will not get if remove this fee </t>
  </si>
  <si>
    <t>See Rev. 35.1150</t>
  </si>
  <si>
    <t>Temporary Employee</t>
  </si>
  <si>
    <t xml:space="preserve">other equip </t>
  </si>
  <si>
    <t>computers</t>
  </si>
  <si>
    <t>Ed &amp; train</t>
  </si>
  <si>
    <t>has rev.</t>
  </si>
  <si>
    <t>trailer for trash</t>
  </si>
  <si>
    <t>van for trash</t>
  </si>
  <si>
    <t>Comm/radios</t>
  </si>
  <si>
    <t>Security</t>
  </si>
  <si>
    <t>tires</t>
  </si>
  <si>
    <t>in 10000 acct.</t>
  </si>
  <si>
    <t>Litigation</t>
  </si>
  <si>
    <t>small equipment</t>
  </si>
  <si>
    <t>see 204 acct. also</t>
  </si>
  <si>
    <t>oil &amp; petroleum</t>
  </si>
  <si>
    <t>outside labor</t>
  </si>
  <si>
    <t>grant homeland security</t>
  </si>
  <si>
    <t>education &amp; training</t>
  </si>
  <si>
    <t>note 4</t>
  </si>
  <si>
    <t>Increases through years</t>
  </si>
  <si>
    <t>WC</t>
  </si>
  <si>
    <t>Liability/general</t>
  </si>
  <si>
    <t>Ave</t>
  </si>
  <si>
    <t>note 5</t>
  </si>
  <si>
    <t>Replace 4 BP monitors</t>
  </si>
  <si>
    <t>replace 4 portable suctions</t>
  </si>
  <si>
    <t>replace 2 laptops</t>
  </si>
  <si>
    <t>Fire alarm admin building</t>
  </si>
  <si>
    <t>No request submitted yet</t>
  </si>
  <si>
    <t>note 2: volunteer recognition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</si>
  <si>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</si>
  <si>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</si>
  <si>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</si>
  <si>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</si>
  <si>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</si>
  <si>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Every two years the Grand Jury is revised</t>
  </si>
  <si>
    <t>for tourn.</t>
  </si>
  <si>
    <t>revenue generator</t>
  </si>
  <si>
    <t>Gas/ misc detention center</t>
  </si>
  <si>
    <t>Note 2:  See vehicle replacement schedule (5 year plan), replace vehicles over 200,000 miles</t>
  </si>
  <si>
    <t>note 1 Revenues</t>
  </si>
  <si>
    <t>Maintenance/Stretchers</t>
  </si>
  <si>
    <t>Revs:33.1260  DOT reimb</t>
  </si>
  <si>
    <t>Revs: 34.5510  Transit fees</t>
  </si>
  <si>
    <t>ADMINISTRATOR</t>
  </si>
  <si>
    <t>COMMISSION</t>
  </si>
  <si>
    <t>increase in grand jury pay by $10/day each position ($6,000 increase)</t>
  </si>
  <si>
    <t>note 1:  HCBOC increased supplement by $7,200 annually for 06</t>
  </si>
  <si>
    <t>Dues RC&amp;D</t>
  </si>
  <si>
    <t>misc</t>
  </si>
  <si>
    <t>Van driver DFACs</t>
  </si>
  <si>
    <t>T English Scholarship</t>
  </si>
  <si>
    <t>note 1:2004 &amp; 5 $8,000 budgeted from Econ. Dev. Fund</t>
  </si>
  <si>
    <t>Municode (internet code of ord)</t>
  </si>
  <si>
    <t>Architect</t>
  </si>
  <si>
    <t>RDC Meal</t>
  </si>
  <si>
    <t>Will be cut in half due to State Law limited amount that can be charged</t>
  </si>
  <si>
    <t>Batt Women Shelter</t>
  </si>
  <si>
    <t>temp employees</t>
  </si>
  <si>
    <t>copier</t>
  </si>
  <si>
    <t>Jury Script (BOE)</t>
  </si>
  <si>
    <t>prior to 06 paid from account 27000</t>
  </si>
  <si>
    <t>contract buyout (deputy)</t>
  </si>
  <si>
    <t>radar unit</t>
  </si>
  <si>
    <t>see revenue 38.9053 ($0.10 per gallon surcharge charged to our cost)</t>
  </si>
  <si>
    <t>coroners inquest</t>
  </si>
  <si>
    <t>communications tower</t>
  </si>
  <si>
    <t>HSRA Grant</t>
  </si>
  <si>
    <t>04 Missed Payment</t>
  </si>
  <si>
    <t xml:space="preserve">note 2: </t>
  </si>
  <si>
    <t>Water Authority expenses are no longer included in these line items.  Water authority is billed for 25% of these costs</t>
  </si>
  <si>
    <t>Runway Extension</t>
  </si>
  <si>
    <t>note 1: suggest supplementing budget during the year when grants are received?  Need more information</t>
  </si>
  <si>
    <t>meeting room cushions</t>
  </si>
  <si>
    <t>courthouse security</t>
  </si>
  <si>
    <t>voting machines</t>
  </si>
  <si>
    <t>Note 4: Mail Fees Rev:</t>
  </si>
  <si>
    <t>Clerk of Court Recording Fee-FIFA</t>
  </si>
  <si>
    <t>Spanish Speaking Interpreter</t>
  </si>
  <si>
    <t>fee for transporting bodies to crime lab</t>
  </si>
  <si>
    <t>computer</t>
  </si>
  <si>
    <t>capital</t>
  </si>
  <si>
    <t>replace cardiac monitors</t>
  </si>
  <si>
    <t>Day room furniture</t>
  </si>
  <si>
    <t>Maint/ICON</t>
  </si>
  <si>
    <t>Technical/GTA</t>
  </si>
  <si>
    <t>Part time employees</t>
  </si>
  <si>
    <t>note 4: 06 started separate line item for this budget item.  06 budget is same as 05, 05 was included in reg wages</t>
  </si>
  <si>
    <t>OPD Grant</t>
  </si>
  <si>
    <t>note 2: see audit and other information, note taxation based on participation of operating expenses</t>
  </si>
  <si>
    <t>part time</t>
  </si>
  <si>
    <t>also for tourn.</t>
  </si>
  <si>
    <t>tax sale</t>
  </si>
  <si>
    <t>note1: state was performing this function 05 was first year State made County do this, costs in 05 billed to part time wages</t>
  </si>
  <si>
    <t>Part Time wages</t>
  </si>
  <si>
    <t>City of Hartwell Parking Lot</t>
  </si>
  <si>
    <t>Used Vehicle Purchase</t>
  </si>
  <si>
    <t xml:space="preserve">  </t>
  </si>
  <si>
    <t>Economic Developer- full time</t>
  </si>
  <si>
    <t>Wages</t>
  </si>
  <si>
    <t>Professional (General)</t>
  </si>
  <si>
    <t>Workers Compensation</t>
  </si>
  <si>
    <t>Library 04 payment</t>
  </si>
  <si>
    <t>laser grade 3 fields, senior, minor, little league</t>
  </si>
  <si>
    <t>Rec.</t>
  </si>
  <si>
    <t>Tires and Tubes or batteries</t>
  </si>
  <si>
    <t>Maintenance Contract/Gasboy</t>
  </si>
  <si>
    <t>100.28110 Misdemeanor Probation</t>
  </si>
  <si>
    <t>Misdemeanor Probation</t>
  </si>
  <si>
    <t>Technical-GCIC</t>
  </si>
  <si>
    <t>Witness subpoena</t>
  </si>
  <si>
    <t>Oglethorp/ juvinile court</t>
  </si>
  <si>
    <t>note 1: state law 50-8-33 (b) (1) requires that dues be paid only from unincorporated funds therefore admin rec. these be paid for in 203 account</t>
  </si>
  <si>
    <t>100.15600 Internal Audit</t>
  </si>
  <si>
    <t>Oil &amp; Other Petroleum</t>
  </si>
  <si>
    <t>live scan grant</t>
  </si>
  <si>
    <t>State Charge for Prison Detail</t>
  </si>
  <si>
    <t>NEGA Animal Shelter</t>
  </si>
  <si>
    <t>O &amp; M Expenses</t>
  </si>
  <si>
    <t>Indigent Burial</t>
  </si>
  <si>
    <t>grant funded</t>
  </si>
  <si>
    <t>rev. for grant 52.2214</t>
  </si>
  <si>
    <t>Auditor</t>
  </si>
  <si>
    <t>GA Forestry</t>
  </si>
  <si>
    <t>Terminal Expansion</t>
  </si>
  <si>
    <t>Ninth Dist. Opportunity</t>
  </si>
  <si>
    <t>Juvenile Judge Supplement</t>
  </si>
  <si>
    <t xml:space="preserve">software </t>
  </si>
  <si>
    <t>capital match with Library Board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</si>
  <si>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</si>
  <si>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</si>
  <si>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</si>
  <si>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</si>
  <si>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</si>
  <si>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</si>
  <si>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</si>
  <si>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Drug &amp; Alcohol Counseling</t>
  </si>
  <si>
    <t>Unemployment Insurance</t>
  </si>
  <si>
    <t>Marketing Svc</t>
  </si>
  <si>
    <t>note 3: temp employee for doc mgt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</si>
  <si>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</si>
  <si>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</si>
  <si>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</si>
  <si>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</si>
  <si>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</si>
  <si>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</si>
  <si>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</si>
  <si>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</si>
  <si>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Supplemental funding- Heating Assistance</t>
  </si>
  <si>
    <t>Van Drivers DFACs grant</t>
  </si>
  <si>
    <t>66% payroll</t>
  </si>
  <si>
    <t>Mold Remediation Library</t>
  </si>
  <si>
    <t>Roof Replacement</t>
  </si>
  <si>
    <t>Admin. Cuts fr. Prior year bud.</t>
  </si>
  <si>
    <t>Dispatcher Salary</t>
  </si>
  <si>
    <t>Supervisor Salary</t>
  </si>
  <si>
    <t xml:space="preserve">note 1 </t>
  </si>
  <si>
    <t>note 1: $1,458 supervisory salary shifted to 55400</t>
  </si>
  <si>
    <t>Audit</t>
  </si>
  <si>
    <t>note 1: DOT reimbursements, creating separate line items for  DOT reimbursement, these are not new charges, some from other depts</t>
  </si>
  <si>
    <t>Vehicle Insurance</t>
  </si>
  <si>
    <t>Wages-Regular Employees</t>
  </si>
  <si>
    <t>Wages-Temporary Employees</t>
  </si>
  <si>
    <t>Education and training</t>
  </si>
  <si>
    <t>storage rental</t>
  </si>
  <si>
    <t>Note 2 FY06</t>
  </si>
  <si>
    <t>Part Time Employees</t>
  </si>
  <si>
    <t>Wages-full time</t>
  </si>
  <si>
    <t>NO BUDGET REQUEST SUBMITTED</t>
  </si>
  <si>
    <t>in line 54.2550</t>
  </si>
  <si>
    <t>note 1: OT is worse case scenario</t>
  </si>
  <si>
    <t>Note 2: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</si>
  <si>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</si>
  <si>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</si>
  <si>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</si>
  <si>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</si>
  <si>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</si>
  <si>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</si>
  <si>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note 2;  10% cost of scheduled vehicle replacement 2325, 90% state funded, actual cost may be more or less look at FY08</t>
  </si>
  <si>
    <t>Automobile</t>
  </si>
  <si>
    <t>move to 203?</t>
  </si>
  <si>
    <t>Revenue 34.2600</t>
  </si>
  <si>
    <t>Job Incentive Pay</t>
  </si>
  <si>
    <t>note 5: Requires equal contribution from Franklin &amp; Stephens Counties</t>
  </si>
  <si>
    <t>note 2: Criminal Justice Software</t>
  </si>
  <si>
    <t>note 2 software, website, virus protection (all county departments)</t>
  </si>
  <si>
    <t>Sex Offender Regisrtry Website</t>
  </si>
  <si>
    <t>req by law</t>
  </si>
  <si>
    <t>Express Poll Machines</t>
  </si>
  <si>
    <t>Cott/wingapp</t>
  </si>
  <si>
    <t>NACO</t>
  </si>
  <si>
    <t>Library Reconstruction</t>
  </si>
  <si>
    <t>2007-08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</si>
  <si>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</si>
  <si>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</si>
  <si>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</si>
  <si>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</si>
  <si>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</si>
  <si>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</si>
  <si>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</si>
  <si>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funds eliminated 2008 funds position turned into part time so no additional local funding needed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</si>
  <si>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</si>
  <si>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</si>
  <si>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</si>
  <si>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</si>
  <si>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</si>
  <si>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</si>
  <si>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</si>
  <si>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one time capital expense-may carry over to FY08</t>
  </si>
  <si>
    <t>one time capital expense-finished FY07</t>
  </si>
  <si>
    <t>batteries</t>
  </si>
  <si>
    <t>speculation</t>
  </si>
  <si>
    <t>Library Carpet</t>
  </si>
  <si>
    <t>speculative</t>
  </si>
  <si>
    <t>one time capital</t>
  </si>
  <si>
    <t>note: "speculation" means that at this point we do not know more firm numbers for insurance. Actual numbers become more concrete as fiscal year ends and new proposals received.</t>
  </si>
  <si>
    <t>reimbursed by insurance</t>
  </si>
  <si>
    <t>Auditor -GASB34</t>
  </si>
  <si>
    <t>Budget on hold pending replacement of Public works director and/or environmental enforcement officer</t>
  </si>
  <si>
    <t>vehicle</t>
  </si>
  <si>
    <t>Website Services</t>
  </si>
  <si>
    <t>Repairs &amp; Maint</t>
  </si>
  <si>
    <t>Rent IBA</t>
  </si>
  <si>
    <t>Other Prof. Services</t>
  </si>
  <si>
    <t>Economic Developer</t>
  </si>
  <si>
    <t>note 4: training may be more if more mapping software training needed</t>
  </si>
  <si>
    <t>note 5: certification for sheriffs education is more extensive by state mandate starting in FY08/09</t>
  </si>
  <si>
    <t>note 2:  see long range EMS capital replacement plan</t>
  </si>
  <si>
    <t>rev pays for actual expense</t>
  </si>
  <si>
    <t>MPRF O&amp;M</t>
  </si>
  <si>
    <t>Building Maintenance</t>
  </si>
  <si>
    <t>Hart Haven house maintenance</t>
  </si>
  <si>
    <t>note 1: in house personnel have reduced the cost for this line item</t>
  </si>
  <si>
    <t>Copier Maint</t>
  </si>
  <si>
    <t>overall note:  actual expenditures may vary depending on jail population and costs for repairs and maint</t>
  </si>
  <si>
    <t>Patient Reporting Software</t>
  </si>
  <si>
    <t>note 2:DSL for CH in here, also includes 3 cell phones</t>
  </si>
  <si>
    <t>website maint</t>
  </si>
  <si>
    <t>Uniforms</t>
  </si>
  <si>
    <t>Fire proof cabinets</t>
  </si>
  <si>
    <t>note 1: includes State COLA for tax comm.</t>
  </si>
  <si>
    <t>note 1: state COLA for elected COC included</t>
  </si>
  <si>
    <t>Run o ff election</t>
  </si>
  <si>
    <t>Extra Wages/fica Primary Election</t>
  </si>
  <si>
    <t>Lateral file cabinets</t>
  </si>
  <si>
    <t>BOA Mapping Project</t>
  </si>
  <si>
    <t>Tourism Personnel</t>
  </si>
  <si>
    <t>note 6: Rent paid for Ec. Dev. is paid to COC, recommend taking over tourism promotion for county see attached report</t>
  </si>
  <si>
    <t xml:space="preserve">   only one vehicle required in Fy08, however 17 may be needed over five year planning period, recommend waiting until mid 08 to decide capital purchase please see narrative</t>
  </si>
  <si>
    <t>Substation</t>
  </si>
  <si>
    <t>Sheriff/Tax Buildings</t>
  </si>
  <si>
    <t>Admin Building Roof</t>
  </si>
  <si>
    <t>Pandemic Flu Grant</t>
  </si>
  <si>
    <t>Maintenance cardiac monitors</t>
  </si>
  <si>
    <t>Risked Based Audit</t>
  </si>
  <si>
    <t>risked based audit will be required beginning by FY08</t>
  </si>
  <si>
    <t>note 3; summer paving months increase overtime needs, not completely shown in actuals to date</t>
  </si>
  <si>
    <t>one time capital expense</t>
  </si>
  <si>
    <t>2008-09</t>
  </si>
  <si>
    <t>Ins/ Deductible</t>
  </si>
  <si>
    <t>DA Building Security</t>
  </si>
  <si>
    <t>Criminal Jusitce/ Magis</t>
  </si>
  <si>
    <t>Animal Shelter Study</t>
  </si>
  <si>
    <t xml:space="preserve">PTO </t>
  </si>
  <si>
    <t>move to 27500 Fy09</t>
  </si>
  <si>
    <t>Law Library 27500</t>
  </si>
  <si>
    <t>see state law 36-15-7</t>
  </si>
  <si>
    <t>Maint of Ordinance Codification</t>
  </si>
  <si>
    <t>FY09 Remain Liab Ins.</t>
  </si>
  <si>
    <t>FY10 Liability/general</t>
  </si>
  <si>
    <t>Note 3</t>
  </si>
  <si>
    <t>note 3:  This is estimate for new term July 1, 2009- July 1,2010</t>
  </si>
  <si>
    <t>Note 1: ACCG changed term of policy from Oct 1 to July 1, this amount is remaining 9 months for term beginning July 1, 2008 ending July 1, 2009</t>
  </si>
  <si>
    <t xml:space="preserve">Soil Technician Grant </t>
  </si>
  <si>
    <t>Federal Funding Eliminated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</si>
  <si>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</si>
  <si>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</si>
  <si>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</si>
  <si>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</si>
  <si>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</si>
  <si>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</si>
  <si>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</si>
  <si>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</si>
  <si>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</si>
  <si>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</si>
  <si>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</si>
  <si>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</si>
  <si>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</si>
  <si>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Rec Dept Donations</t>
  </si>
  <si>
    <t>Health insurance</t>
  </si>
  <si>
    <t>Archway Grant Local Contribution</t>
  </si>
  <si>
    <t>rev 35.1130</t>
  </si>
  <si>
    <t>note 1: program ended see 33.4111 rev.</t>
  </si>
  <si>
    <t>BOE was paid out of Jury Script line item.  moved BOE pay to BOE account fy06</t>
  </si>
  <si>
    <t>overall note: 08 rec. based on 06 expenses due to the Grand Jury every even year</t>
  </si>
  <si>
    <t>note 1:  State charges for use of prison crew.  We applied and received exemption in FY05, 06,07, 08</t>
  </si>
  <si>
    <t>note 1:  substation added additional personnel costs to this line item 08</t>
  </si>
  <si>
    <t>combined w/parts</t>
  </si>
  <si>
    <t>note 1;  additional mechanic added in FY07 but not yet put on staff</t>
  </si>
  <si>
    <t>REVENUES</t>
  </si>
  <si>
    <t>note 3: depends on participate #'s. Revenue generator</t>
  </si>
  <si>
    <t>note 3 charged to the departments</t>
  </si>
  <si>
    <t>Custodial/ Health Dept</t>
  </si>
  <si>
    <t>Christmas Tree</t>
  </si>
  <si>
    <t>Virus Software</t>
  </si>
  <si>
    <t>Virus Protection</t>
  </si>
  <si>
    <t>virus software</t>
  </si>
  <si>
    <t>Original Budget $50,000 see note 4</t>
  </si>
  <si>
    <t>Part time</t>
  </si>
  <si>
    <t>This is a one time capital match and not to be considered a part of local funding level as described by PLS-6-2-f-1</t>
  </si>
  <si>
    <t>Crim. Justice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</si>
  <si>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</si>
  <si>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</si>
  <si>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</si>
  <si>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</si>
  <si>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</si>
  <si>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</si>
  <si>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</si>
  <si>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note 1:state cola for probate judge included</t>
  </si>
  <si>
    <t>note 1:  State COLA for Magistrates included</t>
  </si>
  <si>
    <t>Hart State Park Cabin</t>
  </si>
  <si>
    <t>note 1:  State Grant Pays 100% of this cost</t>
  </si>
  <si>
    <t xml:space="preserve">note: gov campus actual budget needs FY09 depends on what remains from FY08 </t>
  </si>
  <si>
    <t>public defender 06 missed</t>
  </si>
  <si>
    <t>DFACs Van Replacement</t>
  </si>
  <si>
    <t>add to 52.1310</t>
  </si>
  <si>
    <t>Foster Care Projgram</t>
  </si>
  <si>
    <t>note 5: copier under warranty FY08</t>
  </si>
  <si>
    <t>ntoe 5</t>
  </si>
  <si>
    <t>note 2:  includes "lean" manufacturing professional services for projects as incentive.  If more projects occur during FY then more money may be needed</t>
  </si>
  <si>
    <t>note 7</t>
  </si>
  <si>
    <t>note 7: for billboard at interstate</t>
  </si>
  <si>
    <t>note 1: dept wants part time converted to full time</t>
  </si>
  <si>
    <t>note 1: State COLA for sheriff included</t>
  </si>
  <si>
    <t>note3</t>
  </si>
  <si>
    <t>note 3 applied for 50% grant</t>
  </si>
  <si>
    <t>note 1:  four additional personnel approved by BOC for bush hog service FY08</t>
  </si>
  <si>
    <t>Animal Shelter Grant</t>
  </si>
  <si>
    <t>Animal Shelter Construction</t>
  </si>
  <si>
    <t>one time capital, see note 6</t>
  </si>
  <si>
    <t>Mapping</t>
  </si>
  <si>
    <t>note 8:  Moved expenses to 110 acct to liquidate account in FY09</t>
  </si>
  <si>
    <t>note 8</t>
  </si>
  <si>
    <t>note 4,8</t>
  </si>
  <si>
    <t>note 1 approved by BOC 6/24/08</t>
  </si>
  <si>
    <t>note 2: based on actual bill for Oct. 1,2008- July 1, 2009</t>
  </si>
  <si>
    <t>Lake Hartwell Economic Impact Study</t>
  </si>
  <si>
    <t xml:space="preserve">note 4: Incentive pay for economic developer based on new jobs nte $11,000, admin recc raising cap to $25,000 </t>
  </si>
  <si>
    <t>note 6: "speculation" means that at this point we do not know more firm numbers for insurance. Actual numbers become more concrete as fiscal year ends and new proposals received.</t>
  </si>
  <si>
    <t>note 6, 7</t>
  </si>
  <si>
    <t>note 1, 7</t>
  </si>
  <si>
    <t>note2, 7</t>
  </si>
  <si>
    <t>note 7:  5% cuts, SRO position, vehicle, radar unit on hold for FY09</t>
  </si>
  <si>
    <t>note 7:  5% cuts, one full time position on hold for FY09</t>
  </si>
  <si>
    <t>note 1,7</t>
  </si>
  <si>
    <t>note 1,7,8</t>
  </si>
  <si>
    <t>note 6: see boa mapping plan 5/22/08</t>
  </si>
  <si>
    <t>note1,2</t>
  </si>
  <si>
    <t>note 2,3</t>
  </si>
  <si>
    <t>note 3: "speculation" means that at this point we do not know more firm numbers for insurance. Actual numbers become more concrete as fiscal year ends and new proposals received.</t>
  </si>
  <si>
    <t>Note 2: 5% cuts hold on filling vacant mechanic position FY09</t>
  </si>
  <si>
    <t>note 1,2</t>
  </si>
  <si>
    <t>note 1,2,4</t>
  </si>
  <si>
    <t xml:space="preserve">         note 4: "speculation" means that at this point we do not know more firm numbers for insurance. Actual numbers become more concrete as fiscal year ends and new proposals received.</t>
  </si>
  <si>
    <t xml:space="preserve">       Note 2: 5% cuts hold on filling 2 vacant positions FY09</t>
  </si>
  <si>
    <t>PROGRAM DEAD</t>
  </si>
  <si>
    <t>note 3: 5% budget cuts for FY09 Library Board will pay for audit</t>
  </si>
  <si>
    <t>Note 1: move to ins. Premium for FY09</t>
  </si>
  <si>
    <t>note 3: chamber of commerce manage this account, annual budget will be $15,000 fy10</t>
  </si>
  <si>
    <t>Base Wages- Registrars</t>
  </si>
  <si>
    <t>note 1: will be addressed in supplemental budget if materializes</t>
  </si>
  <si>
    <t>Achievers Inc Grant</t>
  </si>
  <si>
    <t>pay from SPLOST III</t>
  </si>
  <si>
    <t>Stuctural improvements Shelter</t>
  </si>
  <si>
    <t>Shelter Replacement</t>
  </si>
  <si>
    <t>note 4; reinforcement of picnic shelter at clay street park to minimize storm damage potential (FY09)  currently out for bid</t>
  </si>
  <si>
    <t>note 5:  replacement of picnic shelter at Clay Street park (currently under design) for FY09 (Insurance reimbursement received FY08)</t>
  </si>
  <si>
    <t xml:space="preserve">note: "speculation" means that at this point we do not know more firm numbers for insurance. Actual numbers become more concrete when new policy received first quarter of next fiscal year </t>
  </si>
  <si>
    <t xml:space="preserve">note8: "speculation" means that at this point we do not know more firm numbers for insurance. Actual numbers become more concrete when new policy received first quarter of next fiscal year </t>
  </si>
  <si>
    <t>Contract reval office space</t>
  </si>
  <si>
    <t>note:  BOC recognizes new COC will enter office 2009 and this budget may be revised based on new COC needs with BOC approval</t>
  </si>
  <si>
    <t>BUDGET NOT YET APPROVED FOR FY09</t>
  </si>
  <si>
    <t>Misc Insurance Claims</t>
  </si>
  <si>
    <t>note 4:  This is amounts above deductible and is 100% repaid by insurance payments</t>
  </si>
  <si>
    <t>note 1,2,5</t>
  </si>
  <si>
    <t xml:space="preserve">      note 5: $510,000 in wages paid from 203 insurance premium fund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</si>
</sst>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"/>
    <numFmt numFmtId="176" formatCode="#,##0.0000"/>
    <numFmt numFmtId="177" formatCode="_(* #,##0.0000_);_(* \(#,##0.0000\);_(* &quot;-&quot;????_);_(@_)"/>
    <numFmt numFmtId="178" formatCode="#,##0."/>
    <numFmt numFmtId="179" formatCode="&quot;$&quot;#."/>
    <numFmt numFmtId="180" formatCode="#.00"/>
    <numFmt numFmtId="181" formatCode="&quot;$&quot;#,##0"/>
    <numFmt numFmtId="182" formatCode="#,##0.0_);\(#,##0.0\)"/>
    <numFmt numFmtId="183" formatCode="0.000%"/>
    <numFmt numFmtId="184" formatCode="0.0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&quot;$&quot;#,##0.0"/>
  </numFmts>
  <fonts count="1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3" fillId="0" borderId="0">
      <alignment/>
      <protection locked="0"/>
    </xf>
    <xf numFmtId="0" fontId="13" fillId="0" borderId="0">
      <alignment/>
      <protection locked="0"/>
    </xf>
    <xf numFmtId="180" fontId="13" fillId="0" borderId="0">
      <alignment/>
      <protection locked="0"/>
    </xf>
    <xf numFmtId="0" fontId="1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1">
      <alignment/>
      <protection locked="0"/>
    </xf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166" fontId="5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66" fontId="7" fillId="0" borderId="0" xfId="15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 horizontal="left" indent="2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0" fontId="7" fillId="0" borderId="0" xfId="27" applyNumberFormat="1" applyFont="1" applyAlignment="1">
      <alignment/>
    </xf>
    <xf numFmtId="10" fontId="8" fillId="0" borderId="2" xfId="27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4" fontId="7" fillId="0" borderId="0" xfId="18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0" fontId="8" fillId="0" borderId="0" xfId="27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0" fillId="0" borderId="0" xfId="27" applyAlignment="1">
      <alignment/>
    </xf>
    <xf numFmtId="0" fontId="0" fillId="0" borderId="0" xfId="0" applyFill="1" applyBorder="1" applyAlignment="1">
      <alignment horizontal="right"/>
    </xf>
    <xf numFmtId="174" fontId="0" fillId="0" borderId="0" xfId="18" applyNumberFormat="1" applyAlignment="1">
      <alignment/>
    </xf>
    <xf numFmtId="9" fontId="7" fillId="0" borderId="0" xfId="27" applyNumberFormat="1" applyFont="1" applyAlignment="1">
      <alignment/>
    </xf>
    <xf numFmtId="9" fontId="0" fillId="0" borderId="0" xfId="0" applyNumberFormat="1" applyAlignment="1">
      <alignment/>
    </xf>
    <xf numFmtId="172" fontId="8" fillId="0" borderId="2" xfId="27" applyNumberFormat="1" applyFont="1" applyBorder="1" applyAlignment="1">
      <alignment/>
    </xf>
    <xf numFmtId="9" fontId="7" fillId="0" borderId="0" xfId="27" applyFont="1" applyAlignment="1">
      <alignment/>
    </xf>
    <xf numFmtId="9" fontId="8" fillId="0" borderId="2" xfId="27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8" fillId="0" borderId="0" xfId="27" applyNumberFormat="1" applyFont="1" applyAlignment="1">
      <alignment/>
    </xf>
    <xf numFmtId="0" fontId="0" fillId="0" borderId="0" xfId="0" applyBorder="1" applyAlignment="1">
      <alignment horizontal="center"/>
    </xf>
    <xf numFmtId="10" fontId="0" fillId="0" borderId="0" xfId="27" applyNumberFormat="1" applyAlignment="1">
      <alignment/>
    </xf>
    <xf numFmtId="10" fontId="7" fillId="0" borderId="3" xfId="27" applyNumberFormat="1" applyFont="1" applyBorder="1" applyAlignment="1">
      <alignment/>
    </xf>
    <xf numFmtId="166" fontId="0" fillId="0" borderId="0" xfId="15" applyNumberFormat="1" applyBorder="1" applyAlignment="1">
      <alignment horizontal="center"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/>
    </xf>
    <xf numFmtId="166" fontId="0" fillId="0" borderId="0" xfId="15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7" fillId="0" borderId="0" xfId="15" applyNumberFormat="1" applyFont="1" applyBorder="1" applyAlignment="1">
      <alignment/>
    </xf>
    <xf numFmtId="10" fontId="0" fillId="0" borderId="0" xfId="27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3" fontId="15" fillId="0" borderId="2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44" fontId="7" fillId="0" borderId="0" xfId="18" applyFont="1" applyAlignment="1">
      <alignment/>
    </xf>
    <xf numFmtId="174" fontId="7" fillId="0" borderId="0" xfId="0" applyNumberFormat="1" applyFont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workbookViewId="0" topLeftCell="A1">
      <selection activeCell="O160" sqref="O160"/>
    </sheetView>
  </sheetViews>
  <sheetFormatPr defaultColWidth="9.140625" defaultRowHeight="12.75"/>
  <cols>
    <col min="1" max="1" width="9.140625" style="25" customWidth="1"/>
    <col min="2" max="2" width="27.8515625" style="24" customWidth="1"/>
    <col min="3" max="3" width="3.7109375" style="21" customWidth="1"/>
    <col min="4" max="4" width="27.8515625" style="24" customWidth="1"/>
    <col min="5" max="5" width="9.140625" style="25" customWidth="1"/>
    <col min="6" max="16384" width="9.140625" style="21" customWidth="1"/>
  </cols>
  <sheetData>
    <row r="1" spans="1:5" s="28" customFormat="1" ht="15">
      <c r="A1" s="26" t="s">
        <v>231</v>
      </c>
      <c r="B1" s="27" t="s">
        <v>232</v>
      </c>
      <c r="D1" s="27" t="s">
        <v>232</v>
      </c>
      <c r="E1" s="26" t="s">
        <v>231</v>
      </c>
    </row>
    <row r="2" spans="1:5" ht="12.75">
      <c r="A2" s="25">
        <v>10000</v>
      </c>
      <c r="B2" s="24" t="s">
        <v>56</v>
      </c>
      <c r="D2" s="24" t="s">
        <v>227</v>
      </c>
      <c r="E2" s="25">
        <v>34200</v>
      </c>
    </row>
    <row r="3" spans="1:5" ht="12.75">
      <c r="A3" s="25">
        <v>13000</v>
      </c>
      <c r="B3" s="24" t="s">
        <v>73</v>
      </c>
      <c r="D3" s="24" t="s">
        <v>198</v>
      </c>
      <c r="E3" s="25">
        <v>71300</v>
      </c>
    </row>
    <row r="4" spans="1:5" ht="12.75">
      <c r="A4" s="25">
        <v>14000</v>
      </c>
      <c r="B4" s="24" t="s">
        <v>29</v>
      </c>
      <c r="D4" s="24" t="s">
        <v>205</v>
      </c>
      <c r="E4" s="25">
        <v>75630</v>
      </c>
    </row>
    <row r="5" spans="1:5" ht="12.75">
      <c r="A5" s="25">
        <v>14100</v>
      </c>
      <c r="B5" s="24" t="s">
        <v>42</v>
      </c>
      <c r="D5" s="24" t="s">
        <v>141</v>
      </c>
      <c r="E5" s="25">
        <v>39100</v>
      </c>
    </row>
    <row r="6" spans="1:5" ht="12.75">
      <c r="A6" s="25">
        <v>15300</v>
      </c>
      <c r="B6" s="24" t="s">
        <v>47</v>
      </c>
      <c r="D6" s="24" t="s">
        <v>113</v>
      </c>
      <c r="E6" s="25">
        <v>28100</v>
      </c>
    </row>
    <row r="7" spans="1:5" ht="12.75">
      <c r="A7" s="25">
        <v>15450</v>
      </c>
      <c r="B7" s="24" t="s">
        <v>49</v>
      </c>
      <c r="D7" s="24" t="s">
        <v>42</v>
      </c>
      <c r="E7" s="25">
        <v>14100</v>
      </c>
    </row>
    <row r="8" spans="1:5" ht="12.75">
      <c r="A8" s="25">
        <v>15500</v>
      </c>
      <c r="B8" s="24" t="s">
        <v>74</v>
      </c>
      <c r="D8" s="24" t="s">
        <v>229</v>
      </c>
      <c r="E8" s="25">
        <v>45410</v>
      </c>
    </row>
    <row r="9" spans="1:5" ht="12.75">
      <c r="A9" s="25">
        <v>15550</v>
      </c>
      <c r="B9" s="24" t="s">
        <v>85</v>
      </c>
      <c r="D9" s="24" t="s">
        <v>101</v>
      </c>
      <c r="E9" s="25">
        <v>21800</v>
      </c>
    </row>
    <row r="10" spans="1:5" ht="12.75">
      <c r="A10" s="25">
        <v>15600</v>
      </c>
      <c r="B10" s="24" t="s">
        <v>233</v>
      </c>
      <c r="D10" s="24" t="s">
        <v>207</v>
      </c>
      <c r="E10" s="25">
        <v>76300</v>
      </c>
    </row>
    <row r="11" spans="1:5" ht="12.75">
      <c r="A11" s="25">
        <v>15650</v>
      </c>
      <c r="B11" s="24" t="s">
        <v>86</v>
      </c>
      <c r="D11" s="24" t="s">
        <v>138</v>
      </c>
      <c r="E11" s="25">
        <v>37000</v>
      </c>
    </row>
    <row r="12" spans="1:5" ht="12.75">
      <c r="A12" s="25">
        <v>15950</v>
      </c>
      <c r="B12" s="24" t="s">
        <v>93</v>
      </c>
      <c r="D12" s="24" t="s">
        <v>179</v>
      </c>
      <c r="E12" s="25">
        <v>55400</v>
      </c>
    </row>
    <row r="13" spans="1:5" ht="12.75">
      <c r="A13" s="25">
        <v>21500</v>
      </c>
      <c r="B13" s="24" t="s">
        <v>95</v>
      </c>
      <c r="D13" s="24" t="s">
        <v>105</v>
      </c>
      <c r="E13" s="25">
        <v>22000</v>
      </c>
    </row>
    <row r="14" spans="1:5" ht="12.75">
      <c r="A14" s="25">
        <v>21800</v>
      </c>
      <c r="B14" s="24" t="s">
        <v>101</v>
      </c>
      <c r="D14" s="24" t="s">
        <v>201</v>
      </c>
      <c r="E14" s="25">
        <v>75000</v>
      </c>
    </row>
    <row r="15" spans="1:5" ht="12.75">
      <c r="A15" s="25">
        <v>22000</v>
      </c>
      <c r="B15" s="24" t="s">
        <v>105</v>
      </c>
      <c r="D15" s="24" t="s">
        <v>29</v>
      </c>
      <c r="E15" s="25">
        <v>14000</v>
      </c>
    </row>
    <row r="16" spans="1:5" ht="12.75">
      <c r="A16" s="25">
        <v>22100</v>
      </c>
      <c r="B16" s="24" t="s">
        <v>325</v>
      </c>
      <c r="D16" s="24" t="s">
        <v>142</v>
      </c>
      <c r="E16" s="25">
        <v>39200</v>
      </c>
    </row>
    <row r="17" spans="1:5" ht="12.75">
      <c r="A17" s="25">
        <v>24000</v>
      </c>
      <c r="B17" s="24" t="s">
        <v>106</v>
      </c>
      <c r="D17" s="24" t="s">
        <v>135</v>
      </c>
      <c r="E17" s="25">
        <v>36000</v>
      </c>
    </row>
    <row r="18" spans="1:5" ht="12.75">
      <c r="A18" s="25">
        <v>24500</v>
      </c>
      <c r="B18" s="24" t="s">
        <v>108</v>
      </c>
      <c r="D18" s="24" t="s">
        <v>73</v>
      </c>
      <c r="E18" s="25">
        <v>13000</v>
      </c>
    </row>
    <row r="19" spans="1:5" ht="12.75">
      <c r="A19" s="25">
        <v>26000</v>
      </c>
      <c r="B19" s="24" t="s">
        <v>109</v>
      </c>
      <c r="D19" s="24" t="s">
        <v>200</v>
      </c>
      <c r="E19" s="25">
        <v>71400</v>
      </c>
    </row>
    <row r="20" spans="1:5" ht="12.75">
      <c r="A20" s="25">
        <v>27000</v>
      </c>
      <c r="B20" s="24" t="s">
        <v>110</v>
      </c>
      <c r="D20" s="24" t="s">
        <v>86</v>
      </c>
      <c r="E20" s="25">
        <v>15650</v>
      </c>
    </row>
    <row r="21" spans="1:5" ht="12.75">
      <c r="A21" s="25">
        <v>28000</v>
      </c>
      <c r="B21" s="24" t="s">
        <v>112</v>
      </c>
      <c r="D21" s="24" t="s">
        <v>93</v>
      </c>
      <c r="E21" s="25">
        <v>15950</v>
      </c>
    </row>
    <row r="22" spans="1:5" ht="12.75">
      <c r="A22" s="25">
        <v>28100</v>
      </c>
      <c r="B22" s="24" t="s">
        <v>113</v>
      </c>
      <c r="D22" s="24" t="s">
        <v>56</v>
      </c>
      <c r="E22" s="25">
        <v>10000</v>
      </c>
    </row>
    <row r="23" spans="1:5" ht="12.75">
      <c r="A23" s="25">
        <v>28110</v>
      </c>
      <c r="B23" s="24" t="s">
        <v>500</v>
      </c>
      <c r="D23" s="24" t="s">
        <v>110</v>
      </c>
      <c r="E23" s="25">
        <v>27000</v>
      </c>
    </row>
    <row r="24" spans="1:5" ht="12.75">
      <c r="A24" s="25">
        <v>33000</v>
      </c>
      <c r="B24" s="24" t="s">
        <v>114</v>
      </c>
      <c r="D24" s="24" t="s">
        <v>166</v>
      </c>
      <c r="E24" s="25">
        <v>51000</v>
      </c>
    </row>
    <row r="25" spans="1:5" ht="12.75">
      <c r="A25" s="25">
        <v>33260</v>
      </c>
      <c r="B25" s="24" t="s">
        <v>125</v>
      </c>
      <c r="D25" s="24" t="s">
        <v>148</v>
      </c>
      <c r="E25" s="25">
        <v>42000</v>
      </c>
    </row>
    <row r="26" spans="1:5" ht="12.75">
      <c r="A26" s="25">
        <v>34200</v>
      </c>
      <c r="B26" s="24" t="s">
        <v>227</v>
      </c>
      <c r="D26" s="24" t="s">
        <v>195</v>
      </c>
      <c r="E26" s="25">
        <v>61900</v>
      </c>
    </row>
    <row r="27" spans="1:5" ht="12.75">
      <c r="A27" s="25">
        <v>36000</v>
      </c>
      <c r="B27" s="24" t="s">
        <v>135</v>
      </c>
      <c r="D27" s="24" t="s">
        <v>233</v>
      </c>
      <c r="E27" s="25">
        <v>15600</v>
      </c>
    </row>
    <row r="28" spans="1:5" ht="12.75">
      <c r="A28" s="25">
        <v>37000</v>
      </c>
      <c r="B28" s="24" t="s">
        <v>138</v>
      </c>
      <c r="D28" s="24" t="s">
        <v>125</v>
      </c>
      <c r="E28" s="25">
        <v>33260</v>
      </c>
    </row>
    <row r="29" spans="1:5" ht="12.75">
      <c r="A29" s="25">
        <v>39100</v>
      </c>
      <c r="B29" s="24" t="s">
        <v>141</v>
      </c>
      <c r="D29" s="24" t="s">
        <v>109</v>
      </c>
      <c r="E29" s="25">
        <v>26000</v>
      </c>
    </row>
    <row r="30" spans="1:5" ht="12.75">
      <c r="A30" s="25">
        <v>39200</v>
      </c>
      <c r="B30" s="24" t="s">
        <v>142</v>
      </c>
      <c r="D30" s="24" t="s">
        <v>47</v>
      </c>
      <c r="E30" s="25">
        <v>15300</v>
      </c>
    </row>
    <row r="31" spans="1:5" ht="12.75">
      <c r="A31" s="25">
        <v>41000</v>
      </c>
      <c r="B31" s="24" t="s">
        <v>143</v>
      </c>
      <c r="D31" s="24" t="s">
        <v>196</v>
      </c>
      <c r="E31" s="25">
        <v>65100</v>
      </c>
    </row>
    <row r="32" spans="1:5" ht="12.75">
      <c r="A32" s="25">
        <v>42000</v>
      </c>
      <c r="B32" s="24" t="s">
        <v>148</v>
      </c>
      <c r="D32" s="24" t="s">
        <v>368</v>
      </c>
      <c r="E32" s="25">
        <v>76400</v>
      </c>
    </row>
    <row r="33" spans="1:5" ht="12.75">
      <c r="A33" s="25">
        <v>44100</v>
      </c>
      <c r="B33" s="24" t="s">
        <v>228</v>
      </c>
      <c r="D33" s="24" t="s">
        <v>106</v>
      </c>
      <c r="E33" s="25">
        <v>24000</v>
      </c>
    </row>
    <row r="34" spans="1:7" ht="12.75">
      <c r="A34" s="25">
        <v>45410</v>
      </c>
      <c r="B34" s="24" t="s">
        <v>229</v>
      </c>
      <c r="D34" s="24" t="s">
        <v>230</v>
      </c>
      <c r="E34" s="25">
        <v>49000</v>
      </c>
      <c r="G34" s="6"/>
    </row>
    <row r="35" spans="1:5" ht="12.75">
      <c r="A35" s="25">
        <v>49000</v>
      </c>
      <c r="B35" s="24" t="s">
        <v>230</v>
      </c>
      <c r="D35" s="24" t="s">
        <v>364</v>
      </c>
      <c r="E35" s="25">
        <v>51000</v>
      </c>
    </row>
    <row r="36" spans="1:8" ht="12.75">
      <c r="A36" s="25">
        <v>51000</v>
      </c>
      <c r="B36" s="24" t="s">
        <v>166</v>
      </c>
      <c r="D36" s="24" t="s">
        <v>500</v>
      </c>
      <c r="E36" s="25">
        <v>28110</v>
      </c>
      <c r="G36" s="6"/>
      <c r="H36" s="31"/>
    </row>
    <row r="37" spans="1:8" ht="12.75">
      <c r="A37" s="25">
        <v>51000</v>
      </c>
      <c r="B37" s="24" t="s">
        <v>364</v>
      </c>
      <c r="D37" s="24" t="s">
        <v>108</v>
      </c>
      <c r="E37" s="25">
        <v>24500</v>
      </c>
      <c r="H37" s="6"/>
    </row>
    <row r="38" spans="1:5" ht="12.75">
      <c r="A38" s="25">
        <v>54000</v>
      </c>
      <c r="B38" s="24" t="s">
        <v>172</v>
      </c>
      <c r="D38" s="24" t="s">
        <v>112</v>
      </c>
      <c r="E38" s="25">
        <v>28000</v>
      </c>
    </row>
    <row r="39" spans="1:5" ht="12.75">
      <c r="A39" s="25">
        <v>55200</v>
      </c>
      <c r="B39" s="24" t="s">
        <v>174</v>
      </c>
      <c r="D39" s="24" t="s">
        <v>143</v>
      </c>
      <c r="E39" s="25">
        <v>41000</v>
      </c>
    </row>
    <row r="40" spans="1:5" ht="12.75">
      <c r="A40" s="25">
        <v>55400</v>
      </c>
      <c r="B40" s="24" t="s">
        <v>179</v>
      </c>
      <c r="D40" s="24" t="s">
        <v>181</v>
      </c>
      <c r="E40" s="25">
        <v>61000</v>
      </c>
    </row>
    <row r="41" spans="1:5" ht="12.75">
      <c r="A41" s="25">
        <v>61000</v>
      </c>
      <c r="B41" s="24" t="s">
        <v>181</v>
      </c>
      <c r="D41" s="24" t="s">
        <v>85</v>
      </c>
      <c r="E41" s="25">
        <v>15550</v>
      </c>
    </row>
    <row r="42" spans="1:5" ht="12.75">
      <c r="A42" s="25">
        <v>61900</v>
      </c>
      <c r="B42" s="24" t="s">
        <v>195</v>
      </c>
      <c r="D42" s="24" t="s">
        <v>174</v>
      </c>
      <c r="E42" s="25">
        <v>55200</v>
      </c>
    </row>
    <row r="43" spans="1:5" ht="12.75">
      <c r="A43" s="25">
        <v>65100</v>
      </c>
      <c r="B43" s="24" t="s">
        <v>196</v>
      </c>
      <c r="D43" s="24" t="s">
        <v>114</v>
      </c>
      <c r="E43" s="25">
        <v>33000</v>
      </c>
    </row>
    <row r="44" spans="1:5" ht="12.75">
      <c r="A44" s="25">
        <v>71300</v>
      </c>
      <c r="B44" s="24" t="s">
        <v>198</v>
      </c>
      <c r="D44" s="24" t="s">
        <v>95</v>
      </c>
      <c r="E44" s="25">
        <v>21500</v>
      </c>
    </row>
    <row r="45" spans="1:5" ht="12.75">
      <c r="A45" s="25">
        <v>71400</v>
      </c>
      <c r="B45" s="24" t="s">
        <v>200</v>
      </c>
      <c r="D45" s="24" t="s">
        <v>74</v>
      </c>
      <c r="E45" s="25">
        <v>15500</v>
      </c>
    </row>
    <row r="46" spans="1:5" ht="12.75">
      <c r="A46" s="25">
        <v>75000</v>
      </c>
      <c r="B46" s="24" t="s">
        <v>201</v>
      </c>
      <c r="D46" s="24" t="s">
        <v>49</v>
      </c>
      <c r="E46" s="25">
        <v>15450</v>
      </c>
    </row>
    <row r="47" spans="1:5" ht="12.75">
      <c r="A47" s="25">
        <v>75630</v>
      </c>
      <c r="B47" s="24" t="s">
        <v>205</v>
      </c>
      <c r="D47" s="24" t="s">
        <v>325</v>
      </c>
      <c r="E47" s="25">
        <v>22100</v>
      </c>
    </row>
    <row r="48" spans="1:5" ht="12.75">
      <c r="A48" s="25">
        <v>76300</v>
      </c>
      <c r="B48" s="24" t="s">
        <v>207</v>
      </c>
      <c r="D48" s="24" t="s">
        <v>228</v>
      </c>
      <c r="E48" s="25">
        <v>44100</v>
      </c>
    </row>
    <row r="49" spans="1:5" ht="12.75">
      <c r="A49" s="25">
        <v>76400</v>
      </c>
      <c r="B49" s="24" t="s">
        <v>368</v>
      </c>
      <c r="D49" s="24" t="s">
        <v>172</v>
      </c>
      <c r="E49" s="25">
        <v>54000</v>
      </c>
    </row>
    <row r="50" spans="4:5" ht="12.75">
      <c r="D50" s="21"/>
      <c r="E50" s="21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T79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4" width="11.7109375" style="0" hidden="1" customWidth="1"/>
    <col min="5" max="5" width="1.7109375" style="0" hidden="1" customWidth="1"/>
    <col min="6" max="8" width="11.7109375" style="0" hidden="1" customWidth="1"/>
    <col min="9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7" max="17" width="11.71093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505</v>
      </c>
      <c r="L3" s="54">
        <v>6</v>
      </c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2:18" ht="12.75">
      <c r="B5" s="56"/>
      <c r="C5" s="1"/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9" t="s">
        <v>316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3" t="s">
        <v>22</v>
      </c>
    </row>
    <row r="7" spans="1:18" ht="12.75">
      <c r="A7" t="s">
        <v>225</v>
      </c>
      <c r="B7" s="4">
        <v>52.124</v>
      </c>
      <c r="C7" s="2">
        <v>35584</v>
      </c>
      <c r="D7" s="2">
        <v>47933</v>
      </c>
      <c r="E7" s="2">
        <v>44439</v>
      </c>
      <c r="F7" s="2">
        <v>48404</v>
      </c>
      <c r="G7" s="2">
        <v>53202</v>
      </c>
      <c r="H7" s="2">
        <v>40704</v>
      </c>
      <c r="I7" s="2">
        <v>33258</v>
      </c>
      <c r="J7" s="2">
        <v>37633</v>
      </c>
      <c r="K7" s="2">
        <v>36914</v>
      </c>
      <c r="L7" s="2">
        <v>41118</v>
      </c>
      <c r="M7" s="2">
        <v>42000</v>
      </c>
      <c r="N7" s="2">
        <v>40000</v>
      </c>
      <c r="O7" s="2">
        <v>42000</v>
      </c>
      <c r="P7" s="2">
        <v>42000</v>
      </c>
      <c r="Q7" s="2">
        <v>42000</v>
      </c>
      <c r="R7" s="49">
        <f>(Q7-N7)/N7</f>
        <v>0.05</v>
      </c>
    </row>
    <row r="8" spans="1:19" ht="12.75">
      <c r="A8" t="s">
        <v>646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20000</v>
      </c>
      <c r="O8" s="2"/>
      <c r="P8" s="2"/>
      <c r="Q8" s="2"/>
      <c r="R8" s="49"/>
      <c r="S8" t="s">
        <v>256</v>
      </c>
    </row>
    <row r="9" spans="1:18" ht="12.75">
      <c r="A9" t="s">
        <v>609</v>
      </c>
      <c r="B9" s="4">
        <v>52.1427</v>
      </c>
      <c r="C9" s="2"/>
      <c r="D9" s="2"/>
      <c r="E9" s="2"/>
      <c r="F9" s="2"/>
      <c r="G9" s="2">
        <v>3911</v>
      </c>
      <c r="H9" s="2"/>
      <c r="I9" s="2"/>
      <c r="J9" s="2"/>
      <c r="K9" s="2">
        <v>5000</v>
      </c>
      <c r="L9" s="2"/>
      <c r="M9" s="2"/>
      <c r="N9" s="2"/>
      <c r="R9" s="49"/>
    </row>
    <row r="10" spans="1:18" ht="12.75">
      <c r="A10" s="6" t="s">
        <v>23</v>
      </c>
      <c r="B10" s="6"/>
      <c r="C10" s="8">
        <f>SUM(C7:C7)</f>
        <v>35584</v>
      </c>
      <c r="D10" s="8">
        <f>SUM(D7:D7)</f>
        <v>47933</v>
      </c>
      <c r="E10" s="8">
        <f>SUM(E7:E9)</f>
        <v>44439</v>
      </c>
      <c r="F10" s="8">
        <f>SUM(F7:F9)</f>
        <v>48404</v>
      </c>
      <c r="G10" s="8">
        <f>SUM(G7:G9)</f>
        <v>57113</v>
      </c>
      <c r="H10" s="8">
        <f>SUM(H7:H9)</f>
        <v>40704</v>
      </c>
      <c r="I10" s="8">
        <f>SUM(I7:I9)</f>
        <v>33258</v>
      </c>
      <c r="J10" s="8">
        <v>37633</v>
      </c>
      <c r="K10" s="8">
        <f aca="true" t="shared" si="0" ref="K10:Q10">SUM(K7:K9)</f>
        <v>41914</v>
      </c>
      <c r="L10" s="8">
        <f t="shared" si="0"/>
        <v>41118</v>
      </c>
      <c r="M10" s="8">
        <f t="shared" si="0"/>
        <v>42000</v>
      </c>
      <c r="N10" s="8">
        <f t="shared" si="0"/>
        <v>60000</v>
      </c>
      <c r="O10" s="8">
        <f t="shared" si="0"/>
        <v>42000</v>
      </c>
      <c r="P10" s="8">
        <f t="shared" si="0"/>
        <v>42000</v>
      </c>
      <c r="Q10" s="8">
        <f t="shared" si="0"/>
        <v>42000</v>
      </c>
      <c r="R10" s="57">
        <f>(Q10-N10)/N10</f>
        <v>-0.3</v>
      </c>
    </row>
    <row r="11" spans="3:18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9"/>
    </row>
    <row r="12" spans="3:18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1" t="s">
        <v>357</v>
      </c>
      <c r="O12" s="21"/>
      <c r="P12" s="53">
        <f>O10-P10</f>
        <v>0</v>
      </c>
      <c r="Q12" s="2"/>
      <c r="R12" s="49"/>
    </row>
    <row r="13" spans="14:18" ht="12.75">
      <c r="N13" s="21" t="s">
        <v>545</v>
      </c>
      <c r="O13" s="21"/>
      <c r="P13" s="53">
        <f>N10-P10</f>
        <v>18000</v>
      </c>
      <c r="R13" s="49"/>
    </row>
    <row r="14" spans="14:18" ht="12.75">
      <c r="N14" s="21" t="s">
        <v>307</v>
      </c>
      <c r="O14" s="21"/>
      <c r="P14" s="53">
        <f>P10-Q10</f>
        <v>0</v>
      </c>
      <c r="R14" s="49"/>
    </row>
    <row r="15" spans="1:18" ht="12.75">
      <c r="A15" t="s">
        <v>647</v>
      </c>
      <c r="R15" s="49"/>
    </row>
    <row r="16" ht="12.75">
      <c r="R16" s="49"/>
    </row>
    <row r="17" ht="12.75">
      <c r="R17" s="49"/>
    </row>
    <row r="18" ht="12.75">
      <c r="R18" s="49"/>
    </row>
    <row r="19" ht="12.75">
      <c r="R19" s="49"/>
    </row>
    <row r="20" ht="12.75">
      <c r="R20" s="49"/>
    </row>
    <row r="21" spans="18:20" ht="12.75">
      <c r="R21" s="49"/>
      <c r="T21" t="s">
        <v>489</v>
      </c>
    </row>
    <row r="22" ht="12.75">
      <c r="R22" s="49"/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2"/>
    </row>
    <row r="31" ht="12.75">
      <c r="R31" s="57"/>
    </row>
    <row r="74" ht="12.75">
      <c r="R74" s="2"/>
    </row>
    <row r="75" ht="12.75">
      <c r="R75" s="2"/>
    </row>
    <row r="76" ht="12.75">
      <c r="R76" s="2"/>
    </row>
    <row r="77" ht="12.75">
      <c r="R77" s="2"/>
    </row>
    <row r="78" ht="12.75">
      <c r="R78" s="2"/>
    </row>
    <row r="79" ht="12.75">
      <c r="R79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96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8" width="11.7109375" style="0" hidden="1" customWidth="1"/>
    <col min="9" max="11" width="11.7109375" style="0" customWidth="1"/>
    <col min="12" max="13" width="9.8515625" style="0" bestFit="1" customWidth="1"/>
    <col min="14" max="14" width="10.8515625" style="0" customWidth="1"/>
    <col min="15" max="15" width="10.00390625" style="0" bestFit="1" customWidth="1"/>
    <col min="16" max="16" width="11.00390625" style="0" bestFit="1" customWidth="1"/>
    <col min="17" max="17" width="10.421875" style="0" bestFit="1" customWidth="1"/>
    <col min="18" max="18" width="9.85156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318</v>
      </c>
      <c r="L3" s="54">
        <v>6</v>
      </c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320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38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9" t="s">
        <v>317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9" ht="12.75">
      <c r="A7" t="s">
        <v>712</v>
      </c>
      <c r="C7" s="1"/>
      <c r="D7" s="71"/>
      <c r="E7" s="71"/>
      <c r="F7" s="71"/>
      <c r="G7" s="71"/>
      <c r="H7" s="71"/>
      <c r="I7" s="71"/>
      <c r="J7" s="71"/>
      <c r="K7" s="71"/>
      <c r="L7" s="83">
        <v>57250</v>
      </c>
      <c r="M7" s="84">
        <v>60000</v>
      </c>
      <c r="N7" s="82"/>
      <c r="O7" s="82"/>
      <c r="P7" s="82"/>
      <c r="Q7" s="82"/>
      <c r="R7" s="82"/>
      <c r="S7" s="76" t="s">
        <v>256</v>
      </c>
    </row>
    <row r="8" spans="1:19" ht="12.75">
      <c r="A8" t="s">
        <v>87</v>
      </c>
      <c r="B8" s="4">
        <v>52.211</v>
      </c>
      <c r="C8" s="2"/>
      <c r="D8" s="2"/>
      <c r="E8" s="2">
        <v>153</v>
      </c>
      <c r="F8" s="2">
        <v>279</v>
      </c>
      <c r="G8" s="2"/>
      <c r="H8" s="2"/>
      <c r="I8" s="2"/>
      <c r="J8" s="2">
        <v>495</v>
      </c>
      <c r="K8" s="2">
        <v>1835</v>
      </c>
      <c r="L8" s="11">
        <v>1704</v>
      </c>
      <c r="M8" s="2">
        <f>L8/$L$3*12</f>
        <v>3408</v>
      </c>
      <c r="N8" s="2">
        <v>500</v>
      </c>
      <c r="O8" s="2">
        <v>3400</v>
      </c>
      <c r="P8" s="2">
        <v>3400</v>
      </c>
      <c r="Q8" s="2">
        <v>3400</v>
      </c>
      <c r="R8" s="49"/>
      <c r="S8" s="15" t="s">
        <v>7</v>
      </c>
    </row>
    <row r="9" spans="1:18" ht="12.75">
      <c r="A9" t="s">
        <v>88</v>
      </c>
      <c r="B9" s="4">
        <v>52.214</v>
      </c>
      <c r="C9" s="2"/>
      <c r="D9" s="2">
        <v>4455</v>
      </c>
      <c r="E9" s="2">
        <v>3370</v>
      </c>
      <c r="F9" s="2">
        <v>3790</v>
      </c>
      <c r="G9" s="2">
        <v>2570</v>
      </c>
      <c r="H9" s="2">
        <v>2604</v>
      </c>
      <c r="I9" s="2">
        <v>4448</v>
      </c>
      <c r="J9" s="2">
        <v>5590</v>
      </c>
      <c r="K9" s="2">
        <v>3565</v>
      </c>
      <c r="L9" s="11">
        <v>690</v>
      </c>
      <c r="M9" s="2">
        <v>4000</v>
      </c>
      <c r="N9" s="2">
        <v>4000</v>
      </c>
      <c r="O9" s="2">
        <v>4000</v>
      </c>
      <c r="P9" s="2">
        <v>4000</v>
      </c>
      <c r="Q9" s="2">
        <v>4000</v>
      </c>
      <c r="R9" s="64">
        <f>(Q9-N9)/N9</f>
        <v>0</v>
      </c>
    </row>
    <row r="10" spans="1:18" ht="12.75">
      <c r="A10" t="s">
        <v>319</v>
      </c>
      <c r="B10" s="4">
        <v>52.2201</v>
      </c>
      <c r="C10" s="2"/>
      <c r="D10" s="2"/>
      <c r="E10" s="2">
        <v>6649</v>
      </c>
      <c r="F10" s="2">
        <v>9335</v>
      </c>
      <c r="G10" s="2">
        <v>11922</v>
      </c>
      <c r="H10" s="2">
        <v>5679</v>
      </c>
      <c r="I10" s="2">
        <v>6718</v>
      </c>
      <c r="J10" s="2">
        <v>7142</v>
      </c>
      <c r="K10" s="2">
        <f>6602+192</f>
        <v>6794</v>
      </c>
      <c r="L10" s="11">
        <v>4083</v>
      </c>
      <c r="M10" s="2">
        <v>7000</v>
      </c>
      <c r="N10" s="2">
        <v>7000</v>
      </c>
      <c r="O10" s="2">
        <v>7000</v>
      </c>
      <c r="P10" s="2">
        <v>7000</v>
      </c>
      <c r="Q10" s="2">
        <v>7000</v>
      </c>
      <c r="R10" s="64">
        <f>(Q10-N10)/N10</f>
        <v>0</v>
      </c>
    </row>
    <row r="11" spans="1:18" ht="12.75">
      <c r="A11" t="s">
        <v>90</v>
      </c>
      <c r="B11" s="4">
        <v>52.2205</v>
      </c>
      <c r="C11" s="2"/>
      <c r="D11" s="2"/>
      <c r="E11" s="2">
        <v>2087</v>
      </c>
      <c r="F11" s="2">
        <v>3168</v>
      </c>
      <c r="G11" s="2">
        <v>4455</v>
      </c>
      <c r="H11" s="2">
        <v>5334</v>
      </c>
      <c r="I11" s="2">
        <f>5088+269</f>
        <v>5357</v>
      </c>
      <c r="J11" s="2">
        <v>5543</v>
      </c>
      <c r="K11" s="2">
        <f>5092+45</f>
        <v>5137</v>
      </c>
      <c r="L11" s="11">
        <v>2927</v>
      </c>
      <c r="M11" s="2">
        <f>L11/$L$3*12</f>
        <v>5854</v>
      </c>
      <c r="N11" s="2">
        <v>5500</v>
      </c>
      <c r="O11" s="2">
        <v>5500</v>
      </c>
      <c r="P11" s="2">
        <v>5500</v>
      </c>
      <c r="Q11" s="2">
        <v>5500</v>
      </c>
      <c r="R11" s="64">
        <f>(Q11-N11)/N11</f>
        <v>0</v>
      </c>
    </row>
    <row r="12" spans="1:18" ht="12.75" hidden="1">
      <c r="A12" t="s">
        <v>290</v>
      </c>
      <c r="B12" s="4">
        <v>52.2212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>L12/$L$3*12</f>
        <v>0</v>
      </c>
      <c r="N12" s="2"/>
      <c r="O12" s="2"/>
      <c r="P12" s="2"/>
      <c r="Q12" s="2"/>
      <c r="R12" s="64"/>
    </row>
    <row r="13" spans="1:18" ht="12.75">
      <c r="A13" t="s">
        <v>290</v>
      </c>
      <c r="B13" s="4">
        <v>52.2212</v>
      </c>
      <c r="C13" s="2"/>
      <c r="D13" s="2"/>
      <c r="E13" s="2"/>
      <c r="F13" s="2"/>
      <c r="G13" s="2"/>
      <c r="H13" s="2"/>
      <c r="I13" s="2"/>
      <c r="J13" s="2"/>
      <c r="K13" s="2">
        <v>1330</v>
      </c>
      <c r="L13" s="2"/>
      <c r="M13" s="2">
        <f>L13/$L$3*12</f>
        <v>0</v>
      </c>
      <c r="N13" s="2"/>
      <c r="O13" s="2"/>
      <c r="P13" s="2"/>
      <c r="Q13" s="2"/>
      <c r="R13" s="64"/>
    </row>
    <row r="14" spans="1:18" ht="12.75">
      <c r="A14" t="s">
        <v>652</v>
      </c>
      <c r="B14" s="4"/>
      <c r="C14" s="2"/>
      <c r="D14" s="2"/>
      <c r="E14" s="2"/>
      <c r="F14" s="2"/>
      <c r="G14" s="2"/>
      <c r="H14" s="2"/>
      <c r="I14" s="2"/>
      <c r="J14" s="2"/>
      <c r="K14" s="2">
        <v>2642</v>
      </c>
      <c r="L14" s="2"/>
      <c r="M14" s="2"/>
      <c r="N14" s="2"/>
      <c r="O14" s="2"/>
      <c r="P14" s="2"/>
      <c r="Q14" s="2"/>
      <c r="R14" s="64"/>
    </row>
    <row r="15" spans="1:18" ht="12.75">
      <c r="A15" t="s">
        <v>694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>
        <v>275</v>
      </c>
      <c r="M15" s="2"/>
      <c r="N15" s="2"/>
      <c r="O15" s="2"/>
      <c r="P15" s="2"/>
      <c r="Q15" s="2"/>
      <c r="R15" s="64"/>
    </row>
    <row r="16" spans="2:18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64"/>
    </row>
    <row r="17" spans="1:18" ht="12.75">
      <c r="A17" t="s">
        <v>39</v>
      </c>
      <c r="B17" s="4">
        <v>53.12</v>
      </c>
      <c r="C17" s="2">
        <v>32977</v>
      </c>
      <c r="D17" s="2">
        <v>26030</v>
      </c>
      <c r="E17" s="2">
        <v>32224</v>
      </c>
      <c r="F17" s="2">
        <v>32301</v>
      </c>
      <c r="G17" s="2">
        <v>31750</v>
      </c>
      <c r="H17" s="2">
        <v>40375</v>
      </c>
      <c r="I17" s="2">
        <v>37121</v>
      </c>
      <c r="J17" s="2">
        <v>53134</v>
      </c>
      <c r="K17" s="2">
        <v>41518</v>
      </c>
      <c r="L17" s="11">
        <v>18259</v>
      </c>
      <c r="M17" s="2">
        <f>L17/$L$3*12</f>
        <v>36518</v>
      </c>
      <c r="N17" s="2">
        <v>43000</v>
      </c>
      <c r="O17" s="2">
        <v>43000</v>
      </c>
      <c r="P17" s="2">
        <v>43000</v>
      </c>
      <c r="Q17" s="2">
        <v>43000</v>
      </c>
      <c r="R17" s="64"/>
    </row>
    <row r="18" spans="1:18" ht="12.75">
      <c r="A18" t="s">
        <v>91</v>
      </c>
      <c r="B18" s="4">
        <v>53.1702</v>
      </c>
      <c r="C18" s="2">
        <v>8638</v>
      </c>
      <c r="D18" s="2">
        <v>5463</v>
      </c>
      <c r="E18" s="2">
        <v>7716</v>
      </c>
      <c r="F18" s="2">
        <v>4896</v>
      </c>
      <c r="G18" s="2">
        <v>5118</v>
      </c>
      <c r="H18" s="2">
        <v>5156</v>
      </c>
      <c r="I18" s="2">
        <v>4485</v>
      </c>
      <c r="J18" s="2">
        <v>5304</v>
      </c>
      <c r="K18" s="2">
        <v>8390</v>
      </c>
      <c r="L18" s="11">
        <v>4514</v>
      </c>
      <c r="M18" s="2">
        <f>L18/$L$3*12</f>
        <v>9028</v>
      </c>
      <c r="N18" s="2">
        <v>5500</v>
      </c>
      <c r="O18" s="2">
        <v>5500</v>
      </c>
      <c r="P18" s="2">
        <v>5500</v>
      </c>
      <c r="Q18" s="2">
        <v>5500</v>
      </c>
      <c r="R18" s="64">
        <f>(Q18-N18)/N18</f>
        <v>0</v>
      </c>
    </row>
    <row r="19" spans="1:18" ht="12.75">
      <c r="A19" t="s">
        <v>65</v>
      </c>
      <c r="B19" s="4">
        <v>53.1704</v>
      </c>
      <c r="C19" s="2"/>
      <c r="D19" s="2"/>
      <c r="E19" s="2">
        <v>292</v>
      </c>
      <c r="F19" s="2">
        <v>28</v>
      </c>
      <c r="G19" s="2">
        <v>1081</v>
      </c>
      <c r="H19" s="2">
        <v>3</v>
      </c>
      <c r="I19" s="2"/>
      <c r="J19" s="2"/>
      <c r="K19" s="2">
        <v>11</v>
      </c>
      <c r="L19" s="2"/>
      <c r="M19" s="2">
        <f>L19/$L$3*12</f>
        <v>0</v>
      </c>
      <c r="N19" s="2"/>
      <c r="O19" s="2"/>
      <c r="P19" s="2"/>
      <c r="Q19" s="2"/>
      <c r="R19" s="64"/>
    </row>
    <row r="20" spans="1:18" ht="12.75">
      <c r="A20" t="s">
        <v>92</v>
      </c>
      <c r="B20" s="4">
        <v>53.172</v>
      </c>
      <c r="C20" s="2">
        <v>11446</v>
      </c>
      <c r="D20" s="2">
        <v>19057</v>
      </c>
      <c r="E20" s="2">
        <v>6228</v>
      </c>
      <c r="F20" s="2">
        <v>21483</v>
      </c>
      <c r="G20" s="2">
        <v>46610</v>
      </c>
      <c r="H20" s="2">
        <v>42055</v>
      </c>
      <c r="I20" s="2">
        <v>60354</v>
      </c>
      <c r="J20" s="2">
        <v>23129</v>
      </c>
      <c r="K20" s="2">
        <v>33496</v>
      </c>
      <c r="L20" s="11">
        <v>13381</v>
      </c>
      <c r="M20" s="2">
        <f>L20/$L$3*12</f>
        <v>26762</v>
      </c>
      <c r="N20" s="2">
        <v>45000</v>
      </c>
      <c r="O20" s="2">
        <v>35000</v>
      </c>
      <c r="P20" s="2">
        <v>35000</v>
      </c>
      <c r="Q20" s="2">
        <v>35000</v>
      </c>
      <c r="R20" s="64">
        <f>(Q20-N20)/N20</f>
        <v>-0.2222222222222222</v>
      </c>
    </row>
    <row r="21" spans="1:18" ht="12.75">
      <c r="A21" t="s">
        <v>525</v>
      </c>
      <c r="B21" s="4"/>
      <c r="C21" s="2"/>
      <c r="D21" s="2"/>
      <c r="E21" s="2"/>
      <c r="F21" s="2"/>
      <c r="G21" s="2"/>
      <c r="H21" s="2"/>
      <c r="I21" s="2">
        <f>8054+194</f>
        <v>8248</v>
      </c>
      <c r="J21" s="2">
        <v>6599</v>
      </c>
      <c r="K21" s="2"/>
      <c r="L21" s="11"/>
      <c r="M21" s="2"/>
      <c r="N21" s="2"/>
      <c r="O21" s="2"/>
      <c r="P21" s="2"/>
      <c r="Q21" s="2"/>
      <c r="R21" s="64"/>
    </row>
    <row r="22" spans="1:18" ht="12.75">
      <c r="A22" t="s">
        <v>487</v>
      </c>
      <c r="B22" s="4"/>
      <c r="C22" s="2"/>
      <c r="D22" s="2"/>
      <c r="E22" s="2"/>
      <c r="F22" s="2"/>
      <c r="G22" s="2"/>
      <c r="H22" s="2"/>
      <c r="I22" s="2">
        <v>40000</v>
      </c>
      <c r="J22" s="2"/>
      <c r="K22" s="2"/>
      <c r="L22" s="2"/>
      <c r="M22" s="2"/>
      <c r="N22" s="2"/>
      <c r="O22" s="2"/>
      <c r="P22" s="2"/>
      <c r="Q22" s="2"/>
      <c r="R22" s="64"/>
    </row>
    <row r="23" spans="1:18" ht="12.75">
      <c r="A23" t="s">
        <v>11</v>
      </c>
      <c r="B23" s="4">
        <v>53.1732</v>
      </c>
      <c r="C23" s="2"/>
      <c r="D23" s="2"/>
      <c r="E23" s="2"/>
      <c r="F23" s="2"/>
      <c r="G23" s="2"/>
      <c r="H23" s="2"/>
      <c r="I23" s="2"/>
      <c r="J23" s="2">
        <v>7076</v>
      </c>
      <c r="K23" s="2"/>
      <c r="L23" s="2"/>
      <c r="M23" s="2"/>
      <c r="N23" s="2"/>
      <c r="O23" s="2"/>
      <c r="P23" s="2"/>
      <c r="Q23" s="2"/>
      <c r="R23" s="64"/>
    </row>
    <row r="24" spans="1:18" ht="12.75">
      <c r="A24" t="s">
        <v>12</v>
      </c>
      <c r="B24" s="4">
        <v>53.1733</v>
      </c>
      <c r="C24" s="2"/>
      <c r="D24" s="2"/>
      <c r="E24" s="2"/>
      <c r="F24" s="2"/>
      <c r="G24" s="2"/>
      <c r="H24" s="2"/>
      <c r="I24" s="2"/>
      <c r="J24" s="2">
        <v>8394</v>
      </c>
      <c r="K24" s="2"/>
      <c r="L24" s="2"/>
      <c r="M24" s="2"/>
      <c r="N24" s="2"/>
      <c r="O24" s="2"/>
      <c r="P24" s="2"/>
      <c r="Q24" s="2"/>
      <c r="R24" s="64"/>
    </row>
    <row r="25" spans="1:18" ht="12.75">
      <c r="A25" t="s">
        <v>564</v>
      </c>
      <c r="B25" s="4"/>
      <c r="C25" s="2"/>
      <c r="D25" s="2"/>
      <c r="E25" s="2"/>
      <c r="F25" s="2"/>
      <c r="G25" s="2"/>
      <c r="H25" s="2"/>
      <c r="I25" s="2"/>
      <c r="J25" s="2">
        <v>3690</v>
      </c>
      <c r="K25" s="2">
        <v>6502</v>
      </c>
      <c r="L25" s="2"/>
      <c r="M25" s="2"/>
      <c r="N25" s="2"/>
      <c r="O25" s="2"/>
      <c r="P25" s="2"/>
      <c r="Q25" s="2"/>
      <c r="R25" s="64"/>
    </row>
    <row r="26" spans="1:18" ht="12.75">
      <c r="A26" t="s">
        <v>72</v>
      </c>
      <c r="B26" s="4"/>
      <c r="C26" s="2"/>
      <c r="D26" s="2"/>
      <c r="E26" s="2"/>
      <c r="F26" s="2"/>
      <c r="G26" s="2"/>
      <c r="H26" s="2"/>
      <c r="I26" s="2"/>
      <c r="J26" s="2"/>
      <c r="K26" s="2">
        <v>588</v>
      </c>
      <c r="L26" s="2"/>
      <c r="M26" s="2"/>
      <c r="N26" s="2"/>
      <c r="O26" s="2"/>
      <c r="P26" s="2"/>
      <c r="Q26" s="2"/>
      <c r="R26" s="64"/>
    </row>
    <row r="27" spans="1:18" ht="12.75">
      <c r="A27" t="s">
        <v>623</v>
      </c>
      <c r="B27" s="4"/>
      <c r="C27" s="2"/>
      <c r="D27" s="2"/>
      <c r="E27" s="2"/>
      <c r="F27" s="2"/>
      <c r="G27" s="2"/>
      <c r="H27" s="2"/>
      <c r="I27" s="2"/>
      <c r="J27" s="2"/>
      <c r="K27" s="2">
        <v>857</v>
      </c>
      <c r="L27" s="2"/>
      <c r="M27" s="2"/>
      <c r="N27" s="2"/>
      <c r="O27" s="2"/>
      <c r="P27" s="2"/>
      <c r="Q27" s="2"/>
      <c r="R27" s="64"/>
    </row>
    <row r="28" spans="2:18" ht="12.75"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4"/>
    </row>
    <row r="29" spans="1:19" ht="12.75">
      <c r="A29" t="s">
        <v>643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v>50000</v>
      </c>
      <c r="O29" s="2"/>
      <c r="P29" s="2"/>
      <c r="Q29" s="2">
        <v>50000</v>
      </c>
      <c r="R29" s="64"/>
      <c r="S29" s="6" t="s">
        <v>649</v>
      </c>
    </row>
    <row r="30" spans="1:18" ht="12.75">
      <c r="A30" t="s">
        <v>587</v>
      </c>
      <c r="B30" s="4">
        <v>54.11</v>
      </c>
      <c r="C30" s="2"/>
      <c r="D30" s="2"/>
      <c r="E30" s="2"/>
      <c r="F30" s="2">
        <v>265</v>
      </c>
      <c r="G30" s="2">
        <v>66</v>
      </c>
      <c r="H30" s="2"/>
      <c r="I30" s="2"/>
      <c r="J30" s="2">
        <v>105595</v>
      </c>
      <c r="K30" s="2">
        <v>901</v>
      </c>
      <c r="L30" s="2"/>
      <c r="M30" s="2"/>
      <c r="N30" s="2"/>
      <c r="O30" s="2"/>
      <c r="P30" s="2"/>
      <c r="Q30" s="2"/>
      <c r="R30" s="49"/>
    </row>
    <row r="31" spans="1:19" ht="12.75">
      <c r="A31" t="s">
        <v>597</v>
      </c>
      <c r="B31" s="4">
        <v>54.1303</v>
      </c>
      <c r="C31" s="2"/>
      <c r="D31" s="2"/>
      <c r="E31" s="2"/>
      <c r="F31" s="2"/>
      <c r="G31" s="2"/>
      <c r="H31" s="2"/>
      <c r="I31" s="2"/>
      <c r="J31" s="2"/>
      <c r="K31" s="2">
        <v>357098</v>
      </c>
      <c r="L31" s="2"/>
      <c r="M31" s="2"/>
      <c r="N31" s="2"/>
      <c r="O31" s="2"/>
      <c r="P31" s="2"/>
      <c r="Q31" s="2"/>
      <c r="R31" s="49"/>
      <c r="S31" s="6" t="s">
        <v>601</v>
      </c>
    </row>
    <row r="32" spans="1:19" ht="12.75">
      <c r="A32" t="s">
        <v>599</v>
      </c>
      <c r="B32" s="4"/>
      <c r="C32" s="2"/>
      <c r="D32" s="2"/>
      <c r="E32" s="2"/>
      <c r="F32" s="2"/>
      <c r="G32" s="2"/>
      <c r="H32" s="2"/>
      <c r="I32" s="2"/>
      <c r="J32" s="2"/>
      <c r="K32" s="2">
        <v>136089</v>
      </c>
      <c r="L32" s="2">
        <v>25859</v>
      </c>
      <c r="M32" s="2">
        <v>200000</v>
      </c>
      <c r="N32" s="2">
        <v>200000</v>
      </c>
      <c r="O32" s="2">
        <v>200000</v>
      </c>
      <c r="P32" s="2">
        <v>200000</v>
      </c>
      <c r="Q32" s="2"/>
      <c r="R32" s="49"/>
      <c r="S32" s="6" t="s">
        <v>764</v>
      </c>
    </row>
    <row r="33" spans="1:19" ht="12.75">
      <c r="A33" t="s">
        <v>642</v>
      </c>
      <c r="B33" s="4"/>
      <c r="C33" s="2"/>
      <c r="D33" s="2"/>
      <c r="E33" s="2"/>
      <c r="F33" s="2"/>
      <c r="G33" s="2"/>
      <c r="H33" s="2"/>
      <c r="I33" s="2"/>
      <c r="J33" s="2"/>
      <c r="K33" s="2">
        <v>65</v>
      </c>
      <c r="L33" s="2">
        <v>1044</v>
      </c>
      <c r="M33" s="2">
        <v>400000</v>
      </c>
      <c r="N33" s="2">
        <v>1200000</v>
      </c>
      <c r="O33" s="2">
        <v>1200000</v>
      </c>
      <c r="P33" s="2">
        <v>1200000</v>
      </c>
      <c r="Q33" s="2">
        <v>1200000</v>
      </c>
      <c r="R33" s="49"/>
      <c r="S33" s="6" t="s">
        <v>600</v>
      </c>
    </row>
    <row r="34" spans="1:19" ht="12.75">
      <c r="A34" t="s">
        <v>695</v>
      </c>
      <c r="C34" s="2"/>
      <c r="D34" s="2"/>
      <c r="E34" s="2"/>
      <c r="F34" s="2"/>
      <c r="G34" s="2"/>
      <c r="H34" s="2"/>
      <c r="I34" s="2"/>
      <c r="J34" s="2"/>
      <c r="K34" s="2"/>
      <c r="L34" s="2">
        <v>12511</v>
      </c>
      <c r="M34" s="2">
        <v>12511</v>
      </c>
      <c r="N34" s="2"/>
      <c r="O34" s="2"/>
      <c r="P34" s="2"/>
      <c r="Q34" s="2"/>
      <c r="R34" s="49"/>
      <c r="S34" s="6" t="s">
        <v>649</v>
      </c>
    </row>
    <row r="35" spans="1:18" ht="12.75">
      <c r="A35" t="s">
        <v>393</v>
      </c>
      <c r="B35" s="4">
        <v>54.25</v>
      </c>
      <c r="C35" s="2"/>
      <c r="D35" s="2"/>
      <c r="E35" s="2"/>
      <c r="F35" s="2"/>
      <c r="G35" s="2"/>
      <c r="H35" s="2">
        <v>12790</v>
      </c>
      <c r="I35" s="2"/>
      <c r="J35" s="2"/>
      <c r="K35" s="2"/>
      <c r="L35" s="2"/>
      <c r="M35" s="2"/>
      <c r="N35" s="2"/>
      <c r="O35" s="2"/>
      <c r="P35" s="2"/>
      <c r="Q35" s="2"/>
      <c r="R35" s="49"/>
    </row>
    <row r="36" spans="1:18" ht="12.75">
      <c r="A36" t="s">
        <v>419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9"/>
    </row>
    <row r="37" spans="1:18" ht="12.75">
      <c r="A37" s="6" t="s">
        <v>23</v>
      </c>
      <c r="B37" s="6"/>
      <c r="C37" s="8">
        <f>SUM(C8:C20)</f>
        <v>53061</v>
      </c>
      <c r="D37" s="8">
        <f>SUM(D8:D20)</f>
        <v>55005</v>
      </c>
      <c r="E37" s="8">
        <f>SUM(E8:E36)</f>
        <v>58719</v>
      </c>
      <c r="F37" s="8">
        <f>SUM(F8:F36)</f>
        <v>75545</v>
      </c>
      <c r="G37" s="8">
        <f>SUM(G8:G36)</f>
        <v>103572</v>
      </c>
      <c r="H37" s="8">
        <f>SUM(H8:H36)</f>
        <v>113996</v>
      </c>
      <c r="I37" s="8">
        <f>SUM(I8:I36)</f>
        <v>166731</v>
      </c>
      <c r="J37" s="8">
        <v>236975</v>
      </c>
      <c r="K37" s="8">
        <f>SUM(K8:K36)</f>
        <v>606818</v>
      </c>
      <c r="L37" s="8">
        <f>SUM(L7:L36)</f>
        <v>142497</v>
      </c>
      <c r="M37" s="8">
        <f>SUM(M8:M36)</f>
        <v>705081</v>
      </c>
      <c r="N37" s="8">
        <f>SUM(N8:N36)</f>
        <v>1560500</v>
      </c>
      <c r="O37" s="8">
        <f>SUM(O8:O36)</f>
        <v>1503400</v>
      </c>
      <c r="P37" s="8">
        <f>SUM(P8:P36)</f>
        <v>1503400</v>
      </c>
      <c r="Q37" s="8">
        <f>SUM(Q8:Q36)</f>
        <v>1353400</v>
      </c>
      <c r="R37" s="50">
        <f>(Q37-N37)/N37</f>
        <v>-0.13271387375841076</v>
      </c>
    </row>
    <row r="38" spans="3:18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9"/>
    </row>
    <row r="39" spans="2:18" ht="12.75">
      <c r="B39" s="1"/>
      <c r="D39" s="33" t="s">
        <v>243</v>
      </c>
      <c r="E39" s="33" t="s">
        <v>244</v>
      </c>
      <c r="F39" t="s">
        <v>289</v>
      </c>
      <c r="L39" s="33"/>
      <c r="M39" s="2"/>
      <c r="N39" s="21" t="s">
        <v>357</v>
      </c>
      <c r="O39" s="21"/>
      <c r="P39" s="53">
        <f>O37-P37</f>
        <v>0</v>
      </c>
      <c r="Q39" s="2"/>
      <c r="R39" s="49"/>
    </row>
    <row r="40" spans="1:18" ht="12.75">
      <c r="A40" s="15"/>
      <c r="B40" s="1"/>
      <c r="D40" s="1" t="s">
        <v>245</v>
      </c>
      <c r="E40" s="1" t="s">
        <v>245</v>
      </c>
      <c r="L40" s="1"/>
      <c r="N40" s="21" t="s">
        <v>545</v>
      </c>
      <c r="O40" s="21"/>
      <c r="P40" s="53">
        <f>N37-P37</f>
        <v>57100</v>
      </c>
      <c r="R40" s="49"/>
    </row>
    <row r="41" spans="1:18" ht="12.75">
      <c r="A41" s="15" t="s">
        <v>714</v>
      </c>
      <c r="B41" s="1"/>
      <c r="D41" s="1" t="s">
        <v>245</v>
      </c>
      <c r="E41" s="1" t="s">
        <v>245</v>
      </c>
      <c r="L41" s="1"/>
      <c r="N41" s="21" t="s">
        <v>307</v>
      </c>
      <c r="O41" s="21"/>
      <c r="P41" s="53">
        <f>P37-Q37</f>
        <v>150000</v>
      </c>
      <c r="R41" s="49"/>
    </row>
    <row r="42" spans="1:18" ht="12.75">
      <c r="A42" s="15" t="s">
        <v>713</v>
      </c>
      <c r="B42" s="1"/>
      <c r="D42" s="1" t="s">
        <v>245</v>
      </c>
      <c r="E42" s="1" t="s">
        <v>245</v>
      </c>
      <c r="F42" s="1" t="s">
        <v>245</v>
      </c>
      <c r="G42" s="1"/>
      <c r="H42" s="1"/>
      <c r="I42" s="1"/>
      <c r="J42" s="1"/>
      <c r="K42" s="1"/>
      <c r="R42" s="49"/>
    </row>
    <row r="43" spans="1:18" ht="12.75">
      <c r="A43" s="15"/>
      <c r="B43" s="1"/>
      <c r="D43" s="1" t="s">
        <v>245</v>
      </c>
      <c r="E43" s="1" t="s">
        <v>245</v>
      </c>
      <c r="N43" s="1"/>
      <c r="R43" s="49"/>
    </row>
    <row r="44" spans="1:18" ht="12.75">
      <c r="A44" s="15"/>
      <c r="B44" s="1"/>
      <c r="D44" s="1" t="s">
        <v>245</v>
      </c>
      <c r="E44" s="1" t="s">
        <v>245</v>
      </c>
      <c r="F44" s="1" t="s">
        <v>245</v>
      </c>
      <c r="G44" s="1"/>
      <c r="H44" s="1"/>
      <c r="I44" s="1"/>
      <c r="J44" s="1"/>
      <c r="K44" s="1"/>
      <c r="R44" s="49"/>
    </row>
    <row r="45" spans="1:18" ht="12.75">
      <c r="A45" s="15"/>
      <c r="B45" s="1"/>
      <c r="D45" s="1" t="s">
        <v>245</v>
      </c>
      <c r="E45" s="1" t="s">
        <v>389</v>
      </c>
      <c r="R45" s="49"/>
    </row>
    <row r="46" spans="1:18" ht="12.75">
      <c r="A46" s="15"/>
      <c r="B46" s="1"/>
      <c r="D46" s="1" t="s">
        <v>245</v>
      </c>
      <c r="E46" s="1" t="s">
        <v>245</v>
      </c>
      <c r="R46" s="49"/>
    </row>
    <row r="47" spans="1:18" ht="12.75">
      <c r="A47" s="15"/>
      <c r="B47" s="1"/>
      <c r="D47" s="1" t="s">
        <v>245</v>
      </c>
      <c r="E47" s="1" t="s">
        <v>245</v>
      </c>
      <c r="R47" s="49"/>
    </row>
    <row r="48" spans="1:18" ht="12.75">
      <c r="A48" s="15"/>
      <c r="B48" s="1"/>
      <c r="D48" s="1" t="s">
        <v>245</v>
      </c>
      <c r="E48" s="1" t="s">
        <v>245</v>
      </c>
      <c r="R48" s="49"/>
    </row>
    <row r="49" spans="1:18" ht="12.75">
      <c r="A49" s="15"/>
      <c r="B49" s="1"/>
      <c r="D49" s="1" t="s">
        <v>245</v>
      </c>
      <c r="E49" s="1" t="s">
        <v>245</v>
      </c>
      <c r="L49" s="1"/>
      <c r="R49" s="49"/>
    </row>
    <row r="50" spans="1:18" ht="12.75">
      <c r="A50" s="15"/>
      <c r="B50" s="1"/>
      <c r="D50" s="1" t="s">
        <v>245</v>
      </c>
      <c r="E50" s="1"/>
      <c r="R50" s="49"/>
    </row>
    <row r="51" spans="1:18" ht="12.75">
      <c r="A51" s="15"/>
      <c r="B51" s="1"/>
      <c r="D51" s="1" t="s">
        <v>245</v>
      </c>
      <c r="E51" s="1"/>
      <c r="R51" s="49"/>
    </row>
    <row r="52" spans="1:18" ht="12.75">
      <c r="A52" s="15"/>
      <c r="B52" s="1"/>
      <c r="D52" s="1" t="s">
        <v>245</v>
      </c>
      <c r="E52" s="1" t="s">
        <v>245</v>
      </c>
      <c r="R52" s="49"/>
    </row>
    <row r="53" ht="12.75">
      <c r="R53" s="49"/>
    </row>
    <row r="54" spans="1:18" ht="12.75">
      <c r="A54" s="15"/>
      <c r="R54" s="49"/>
    </row>
    <row r="55" ht="12.75">
      <c r="R55" s="49"/>
    </row>
    <row r="56" spans="1:18" ht="12.75">
      <c r="A56" s="15"/>
      <c r="R56" s="49"/>
    </row>
    <row r="58" ht="12.75">
      <c r="R58" s="57"/>
    </row>
    <row r="59" ht="12.75">
      <c r="A59" s="15"/>
    </row>
    <row r="91" ht="12.75">
      <c r="R91" s="2"/>
    </row>
    <row r="92" ht="12.75">
      <c r="R92" s="2"/>
    </row>
    <row r="93" ht="12.75">
      <c r="R93" s="2"/>
    </row>
    <row r="94" ht="12.75">
      <c r="R94" s="2"/>
    </row>
    <row r="95" ht="12.75">
      <c r="R95" s="2"/>
    </row>
    <row r="96" ht="12.75">
      <c r="R96" s="2"/>
    </row>
  </sheetData>
  <printOptions gridLines="1"/>
  <pageMargins left="0.25" right="0.25" top="1" bottom="0.55" header="0.5" footer="0.25"/>
  <pageSetup fitToHeight="1" fitToWidth="1" horizontalDpi="300" verticalDpi="300" orientation="landscape" scale="69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T80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7.57421875" style="0" hidden="1" customWidth="1"/>
    <col min="4" max="4" width="11.7109375" style="0" hidden="1" customWidth="1"/>
    <col min="5" max="5" width="0.42578125" style="0" hidden="1" customWidth="1"/>
    <col min="6" max="6" width="11.7109375" style="0" hidden="1" customWidth="1"/>
    <col min="7" max="8" width="7.57421875" style="0" hidden="1" customWidth="1"/>
    <col min="9" max="10" width="6.8515625" style="0" bestFit="1" customWidth="1"/>
    <col min="11" max="11" width="6.8515625" style="0" customWidth="1"/>
    <col min="12" max="12" width="11.7109375" style="0" customWidth="1"/>
    <col min="13" max="13" width="9.7109375" style="0" bestFit="1" customWidth="1"/>
    <col min="14" max="15" width="11.7109375" style="0" customWidth="1"/>
    <col min="16" max="16" width="10.7109375" style="0" bestFit="1" customWidth="1"/>
    <col min="17" max="17" width="11.71093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321</v>
      </c>
      <c r="L3" s="54">
        <v>6</v>
      </c>
      <c r="M3" s="9"/>
      <c r="R3" s="1" t="s">
        <v>309</v>
      </c>
    </row>
    <row r="4" spans="4:18" ht="12.75">
      <c r="D4" s="1"/>
      <c r="E4" s="1"/>
      <c r="F4" s="1"/>
      <c r="G4" s="1"/>
      <c r="H4" s="1"/>
      <c r="I4" s="1"/>
      <c r="J4" s="1"/>
      <c r="K4" s="1"/>
      <c r="L4" s="9" t="s">
        <v>320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317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3" t="s">
        <v>22</v>
      </c>
    </row>
    <row r="7" spans="3:18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9"/>
    </row>
    <row r="8" spans="1:18" ht="12.75">
      <c r="A8" t="s">
        <v>383</v>
      </c>
      <c r="B8" s="4">
        <v>52.3602</v>
      </c>
      <c r="C8" s="2"/>
      <c r="D8" s="2"/>
      <c r="E8" s="2"/>
      <c r="F8" s="2"/>
      <c r="G8" s="2">
        <v>3495</v>
      </c>
      <c r="H8" s="2">
        <v>3495</v>
      </c>
      <c r="I8" s="2">
        <v>2995</v>
      </c>
      <c r="J8" s="2">
        <v>2995</v>
      </c>
      <c r="K8" s="2">
        <v>2995</v>
      </c>
      <c r="L8" s="2">
        <v>3295</v>
      </c>
      <c r="M8" s="2">
        <v>3300</v>
      </c>
      <c r="N8" s="2">
        <v>3000</v>
      </c>
      <c r="O8" s="2">
        <v>3300</v>
      </c>
      <c r="P8" s="2">
        <v>3300</v>
      </c>
      <c r="Q8" s="2">
        <v>3300</v>
      </c>
      <c r="R8" s="64">
        <f>(Q8-N8)/N8</f>
        <v>0.1</v>
      </c>
    </row>
    <row r="9" spans="1:19" ht="12.75">
      <c r="A9" t="s">
        <v>94</v>
      </c>
      <c r="B9" s="4">
        <v>52.361</v>
      </c>
      <c r="C9" s="2">
        <v>17971</v>
      </c>
      <c r="D9" s="2">
        <v>23581</v>
      </c>
      <c r="E9" s="2">
        <v>18935</v>
      </c>
      <c r="F9" s="2">
        <v>25342</v>
      </c>
      <c r="G9" s="2">
        <v>17869</v>
      </c>
      <c r="H9" s="2">
        <v>17965</v>
      </c>
      <c r="I9" s="2">
        <v>500</v>
      </c>
      <c r="J9" s="2"/>
      <c r="K9" s="2"/>
      <c r="L9" s="2"/>
      <c r="M9" s="2"/>
      <c r="N9" s="2"/>
      <c r="O9" s="2"/>
      <c r="P9" s="2"/>
      <c r="Q9" s="2"/>
      <c r="R9" s="64"/>
      <c r="S9" t="s">
        <v>256</v>
      </c>
    </row>
    <row r="10" spans="1:18" ht="12.75">
      <c r="A10" t="s">
        <v>582</v>
      </c>
      <c r="B10" s="4"/>
      <c r="C10" s="2"/>
      <c r="D10" s="2"/>
      <c r="E10" s="2"/>
      <c r="F10" s="2"/>
      <c r="G10" s="2"/>
      <c r="H10" s="2"/>
      <c r="I10" s="2"/>
      <c r="J10" s="2"/>
      <c r="K10" s="2">
        <v>450</v>
      </c>
      <c r="L10" s="2">
        <v>450</v>
      </c>
      <c r="M10" s="2">
        <v>450</v>
      </c>
      <c r="N10" s="2">
        <v>450</v>
      </c>
      <c r="O10" s="2">
        <v>450</v>
      </c>
      <c r="P10" s="2">
        <v>450</v>
      </c>
      <c r="Q10" s="2">
        <v>450</v>
      </c>
      <c r="R10" s="64"/>
    </row>
    <row r="11" spans="1:18" ht="12.75">
      <c r="A11" t="s">
        <v>440</v>
      </c>
      <c r="B11">
        <v>52.3603</v>
      </c>
      <c r="C11" s="2"/>
      <c r="D11" s="2"/>
      <c r="E11" s="2"/>
      <c r="F11" s="2"/>
      <c r="G11" s="2"/>
      <c r="H11" s="2"/>
      <c r="I11" s="2"/>
      <c r="J11" s="2">
        <v>500</v>
      </c>
      <c r="K11" s="2">
        <v>500</v>
      </c>
      <c r="L11" s="2">
        <v>500</v>
      </c>
      <c r="M11" s="2">
        <v>500</v>
      </c>
      <c r="N11" s="2">
        <v>500</v>
      </c>
      <c r="O11" s="2">
        <v>500</v>
      </c>
      <c r="P11" s="2">
        <v>500</v>
      </c>
      <c r="Q11" s="2"/>
      <c r="R11" s="64">
        <f>(Q11-N11)/N11</f>
        <v>-1</v>
      </c>
    </row>
    <row r="12" spans="3:18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9"/>
    </row>
    <row r="13" spans="1:18" ht="12.75">
      <c r="A13" s="6" t="s">
        <v>23</v>
      </c>
      <c r="B13" s="6"/>
      <c r="C13" s="8">
        <f>SUM(C9:C9)</f>
        <v>17971</v>
      </c>
      <c r="D13" s="8">
        <f>SUM(D9:D9)</f>
        <v>23581</v>
      </c>
      <c r="E13" s="8">
        <f>SUM(E9:E12)</f>
        <v>18935</v>
      </c>
      <c r="F13" s="8">
        <f>SUM(F9:F12)</f>
        <v>25342</v>
      </c>
      <c r="G13" s="8">
        <f>SUM(G8:G11)</f>
        <v>21364</v>
      </c>
      <c r="H13" s="8">
        <f>SUM(H8:H11)</f>
        <v>21460</v>
      </c>
      <c r="I13" s="8">
        <f>SUM(I8:I11)</f>
        <v>3495</v>
      </c>
      <c r="J13" s="8">
        <v>3495</v>
      </c>
      <c r="K13" s="8">
        <f aca="true" t="shared" si="0" ref="K13:Q13">SUM(K8:K11)</f>
        <v>3945</v>
      </c>
      <c r="L13" s="8">
        <f t="shared" si="0"/>
        <v>4245</v>
      </c>
      <c r="M13" s="8">
        <f t="shared" si="0"/>
        <v>4250</v>
      </c>
      <c r="N13" s="8">
        <f t="shared" si="0"/>
        <v>3950</v>
      </c>
      <c r="O13" s="8">
        <f t="shared" si="0"/>
        <v>4250</v>
      </c>
      <c r="P13" s="8">
        <f t="shared" si="0"/>
        <v>4250</v>
      </c>
      <c r="Q13" s="8">
        <f t="shared" si="0"/>
        <v>3750</v>
      </c>
      <c r="R13" s="50">
        <f>(Q13-N13)/N13</f>
        <v>-0.05063291139240506</v>
      </c>
    </row>
    <row r="14" spans="3:18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9"/>
    </row>
    <row r="15" spans="3:18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1" t="s">
        <v>357</v>
      </c>
      <c r="O15" s="21"/>
      <c r="P15" s="53">
        <f>O13-P13</f>
        <v>0</v>
      </c>
      <c r="Q15" s="2"/>
      <c r="R15" s="49"/>
    </row>
    <row r="16" spans="14:18" ht="12.75">
      <c r="N16" s="21" t="s">
        <v>545</v>
      </c>
      <c r="O16" s="21"/>
      <c r="P16" s="53">
        <f>N13-P13</f>
        <v>-300</v>
      </c>
      <c r="R16" s="49"/>
    </row>
    <row r="17" spans="14:18" ht="12.75">
      <c r="N17" s="21" t="s">
        <v>307</v>
      </c>
      <c r="O17" s="21"/>
      <c r="P17" s="53">
        <f>P13-Q13</f>
        <v>500</v>
      </c>
      <c r="R17" s="49"/>
    </row>
    <row r="18" ht="12.75">
      <c r="R18" s="49"/>
    </row>
    <row r="19" spans="1:18" ht="12.75">
      <c r="A19" t="s">
        <v>504</v>
      </c>
      <c r="R19" s="49"/>
    </row>
    <row r="20" ht="12.75">
      <c r="R20" s="49"/>
    </row>
    <row r="21" spans="18:20" ht="12.75">
      <c r="R21" s="49"/>
      <c r="T21" t="s">
        <v>489</v>
      </c>
    </row>
    <row r="22" ht="12.75">
      <c r="R22" s="49"/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31" ht="12.75"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2" ht="12.75">
      <c r="R42" s="57"/>
    </row>
    <row r="75" ht="12.75">
      <c r="R75" s="2"/>
    </row>
    <row r="76" ht="12.75">
      <c r="R76" s="2"/>
    </row>
    <row r="77" ht="12.75">
      <c r="R77" s="2"/>
    </row>
    <row r="78" ht="12.75">
      <c r="R78" s="2"/>
    </row>
    <row r="79" ht="12.75">
      <c r="R79" s="2"/>
    </row>
    <row r="80" ht="12.75">
      <c r="R80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T81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7.57421875" style="0" hidden="1" customWidth="1"/>
    <col min="4" max="8" width="11.7109375" style="0" hidden="1" customWidth="1"/>
    <col min="9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7" max="17" width="8.710937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322</v>
      </c>
      <c r="L3" s="54">
        <v>6</v>
      </c>
      <c r="M3" s="9"/>
      <c r="R3" s="1" t="s">
        <v>309</v>
      </c>
    </row>
    <row r="4" spans="4:18" ht="12.75">
      <c r="D4" s="1"/>
      <c r="E4" s="1"/>
      <c r="F4" s="1"/>
      <c r="G4" s="1"/>
      <c r="H4" s="1"/>
      <c r="I4" s="1"/>
      <c r="J4" s="1"/>
      <c r="K4" s="1"/>
      <c r="L4" s="9" t="s">
        <v>320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317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s="58" t="s">
        <v>25</v>
      </c>
      <c r="B6" s="58"/>
      <c r="C6" s="37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2:18" ht="12.75">
      <c r="B7" s="4"/>
      <c r="C7" s="2"/>
      <c r="D7" s="2"/>
      <c r="E7" s="2"/>
      <c r="F7" s="2"/>
      <c r="G7" s="2"/>
      <c r="H7" s="2"/>
      <c r="I7" s="2"/>
      <c r="J7" s="2"/>
      <c r="K7" s="2"/>
      <c r="M7" s="2"/>
      <c r="N7" s="2"/>
      <c r="O7" s="2"/>
      <c r="P7" s="2"/>
      <c r="Q7" s="2"/>
      <c r="R7" s="49"/>
    </row>
    <row r="8" spans="1:19" ht="12.75">
      <c r="A8" t="s">
        <v>96</v>
      </c>
      <c r="B8" s="4">
        <v>51.111</v>
      </c>
      <c r="C8" s="2">
        <v>11905</v>
      </c>
      <c r="D8" s="2">
        <v>19555</v>
      </c>
      <c r="E8" s="2">
        <v>29514</v>
      </c>
      <c r="F8" s="2">
        <v>12989</v>
      </c>
      <c r="G8" s="2">
        <v>13033</v>
      </c>
      <c r="H8" s="2">
        <v>13638</v>
      </c>
      <c r="I8" s="2">
        <v>18805</v>
      </c>
      <c r="J8" s="2">
        <v>20235</v>
      </c>
      <c r="K8" s="2">
        <v>20371</v>
      </c>
      <c r="L8" s="2">
        <v>8901</v>
      </c>
      <c r="M8" s="2">
        <v>19400</v>
      </c>
      <c r="N8" s="2">
        <v>19400</v>
      </c>
      <c r="O8" s="2">
        <v>19400</v>
      </c>
      <c r="P8" s="2">
        <v>19400</v>
      </c>
      <c r="Q8" s="2">
        <f>P8*0.95</f>
        <v>18430</v>
      </c>
      <c r="R8" s="64">
        <f>(Q8-N8)/N8</f>
        <v>-0.05</v>
      </c>
      <c r="S8" t="s">
        <v>256</v>
      </c>
    </row>
    <row r="9" spans="1:18" ht="12.75">
      <c r="A9" t="s">
        <v>30</v>
      </c>
      <c r="B9" s="4">
        <v>51.22</v>
      </c>
      <c r="C9" s="2">
        <v>2834</v>
      </c>
      <c r="D9" s="2">
        <v>4131</v>
      </c>
      <c r="E9" s="2">
        <v>4273</v>
      </c>
      <c r="F9" s="2">
        <v>4434</v>
      </c>
      <c r="G9" s="2">
        <v>4139</v>
      </c>
      <c r="H9" s="2">
        <v>4673</v>
      </c>
      <c r="I9" s="2">
        <v>5285</v>
      </c>
      <c r="J9" s="2">
        <v>5693</v>
      </c>
      <c r="K9" s="2">
        <v>5537</v>
      </c>
      <c r="L9" s="2">
        <v>2569</v>
      </c>
      <c r="M9" s="2">
        <f>(M8+M18+M12)*0.0765</f>
        <v>6884.388</v>
      </c>
      <c r="N9" s="2">
        <v>6227.1</v>
      </c>
      <c r="O9" s="2">
        <f>(O8+O18+O12)*0.0765</f>
        <v>6609.599999999999</v>
      </c>
      <c r="P9" s="2">
        <f>(P8+P18+P12)*0.0765</f>
        <v>6227.099999999999</v>
      </c>
      <c r="Q9" s="2">
        <f>(Q8+Q18+Q12)*0.0765</f>
        <v>5915.745</v>
      </c>
      <c r="R9" s="64">
        <f>(Q9-N9)/N9</f>
        <v>-0.05000000000000007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4"/>
    </row>
    <row r="11" spans="1:18" ht="12.75">
      <c r="A11" t="s">
        <v>286</v>
      </c>
      <c r="B11" s="4">
        <v>52.125</v>
      </c>
      <c r="C11" s="2"/>
      <c r="E11" s="2">
        <v>25545</v>
      </c>
      <c r="F11" s="2">
        <v>47748</v>
      </c>
      <c r="G11" s="2">
        <v>26553</v>
      </c>
      <c r="H11" s="2">
        <v>27929</v>
      </c>
      <c r="I11" s="2">
        <f>1093+18599</f>
        <v>19692</v>
      </c>
      <c r="J11" s="2">
        <v>20546</v>
      </c>
      <c r="K11" s="2">
        <v>15645</v>
      </c>
      <c r="L11" s="2">
        <v>5444</v>
      </c>
      <c r="M11" s="2">
        <f>+L11/$L$3*12</f>
        <v>10888</v>
      </c>
      <c r="N11" s="2">
        <v>15000</v>
      </c>
      <c r="O11" s="2">
        <v>10000</v>
      </c>
      <c r="P11" s="2">
        <v>10000</v>
      </c>
      <c r="Q11" s="2">
        <f aca="true" t="shared" si="0" ref="Q11:Q23">P11*0.95</f>
        <v>9500</v>
      </c>
      <c r="R11" s="64">
        <f>(Q11-N11)/N11</f>
        <v>-0.36666666666666664</v>
      </c>
    </row>
    <row r="12" spans="1:18" ht="12.75">
      <c r="A12" t="s">
        <v>98</v>
      </c>
      <c r="B12" s="4">
        <v>52.132</v>
      </c>
      <c r="C12" s="2">
        <v>23422</v>
      </c>
      <c r="D12" s="2">
        <v>28619</v>
      </c>
      <c r="E12" s="2">
        <v>38628</v>
      </c>
      <c r="F12" s="2">
        <v>29130</v>
      </c>
      <c r="G12" s="2">
        <v>31963</v>
      </c>
      <c r="H12" s="2">
        <v>37861</v>
      </c>
      <c r="I12" s="2">
        <v>39051</v>
      </c>
      <c r="J12" s="2">
        <v>38765</v>
      </c>
      <c r="K12" s="2">
        <f>38793+29</f>
        <v>38822</v>
      </c>
      <c r="L12" s="2">
        <v>23466</v>
      </c>
      <c r="M12" s="2">
        <f>+L12/$L$3*12</f>
        <v>46932</v>
      </c>
      <c r="N12" s="2">
        <v>37000</v>
      </c>
      <c r="O12" s="2">
        <v>37000</v>
      </c>
      <c r="P12" s="2">
        <v>37000</v>
      </c>
      <c r="Q12" s="2">
        <f t="shared" si="0"/>
        <v>35150</v>
      </c>
      <c r="R12" s="64"/>
    </row>
    <row r="13" spans="1:18" ht="12.75" hidden="1">
      <c r="A13" t="s">
        <v>99</v>
      </c>
      <c r="B13" s="4">
        <v>52.2204</v>
      </c>
      <c r="C13" s="2">
        <v>499</v>
      </c>
      <c r="D13" s="2">
        <v>594</v>
      </c>
      <c r="E13" s="2">
        <v>552</v>
      </c>
      <c r="F13" s="2">
        <v>588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64"/>
    </row>
    <row r="14" spans="1:18" ht="12.75">
      <c r="A14" t="s">
        <v>32</v>
      </c>
      <c r="B14" s="4">
        <v>52.32</v>
      </c>
      <c r="C14" s="2">
        <v>4690</v>
      </c>
      <c r="D14" s="2">
        <v>3752</v>
      </c>
      <c r="E14" s="2">
        <v>4631</v>
      </c>
      <c r="F14" s="2">
        <v>4206</v>
      </c>
      <c r="G14" s="2">
        <v>4326</v>
      </c>
      <c r="H14" s="2">
        <v>4327</v>
      </c>
      <c r="I14" s="2">
        <v>4413</v>
      </c>
      <c r="J14" s="2">
        <v>4603</v>
      </c>
      <c r="K14" s="2">
        <v>4465</v>
      </c>
      <c r="L14" s="2">
        <v>1900</v>
      </c>
      <c r="M14" s="2">
        <f aca="true" t="shared" si="1" ref="M14:M19">+L14/$L$3*12</f>
        <v>3800</v>
      </c>
      <c r="N14" s="2">
        <v>4000</v>
      </c>
      <c r="O14" s="2">
        <v>4500</v>
      </c>
      <c r="P14" s="2">
        <v>4000</v>
      </c>
      <c r="Q14" s="2">
        <f t="shared" si="0"/>
        <v>3800</v>
      </c>
      <c r="R14" s="64">
        <f>(Q14-N14)/N14</f>
        <v>-0.05</v>
      </c>
    </row>
    <row r="15" spans="1:18" ht="12.75">
      <c r="A15" t="s">
        <v>33</v>
      </c>
      <c r="B15" s="4">
        <v>52.321</v>
      </c>
      <c r="C15" s="2">
        <v>617</v>
      </c>
      <c r="D15" s="2">
        <v>785</v>
      </c>
      <c r="E15" s="2">
        <v>1016</v>
      </c>
      <c r="F15" s="2">
        <v>821</v>
      </c>
      <c r="G15" s="2">
        <v>823</v>
      </c>
      <c r="H15" s="2">
        <v>649</v>
      </c>
      <c r="I15" s="2">
        <v>453</v>
      </c>
      <c r="J15" s="2">
        <v>705</v>
      </c>
      <c r="K15" s="2">
        <v>442</v>
      </c>
      <c r="L15" s="2">
        <v>336</v>
      </c>
      <c r="M15" s="2">
        <f t="shared" si="1"/>
        <v>672</v>
      </c>
      <c r="N15" s="2">
        <v>700</v>
      </c>
      <c r="O15" s="2">
        <v>850</v>
      </c>
      <c r="P15" s="2">
        <v>700</v>
      </c>
      <c r="Q15" s="2">
        <f t="shared" si="0"/>
        <v>665</v>
      </c>
      <c r="R15" s="64">
        <f>(Q15-N15)/N15</f>
        <v>-0.05</v>
      </c>
    </row>
    <row r="16" spans="1:20" ht="12.75">
      <c r="A16" t="s">
        <v>45</v>
      </c>
      <c r="B16" s="4">
        <v>52.35</v>
      </c>
      <c r="C16" s="2">
        <v>162</v>
      </c>
      <c r="D16" s="2">
        <v>155</v>
      </c>
      <c r="E16" s="2"/>
      <c r="F16" s="2"/>
      <c r="G16" s="2"/>
      <c r="H16" s="2"/>
      <c r="I16" s="2">
        <v>731</v>
      </c>
      <c r="J16" s="2">
        <v>493</v>
      </c>
      <c r="K16" s="2">
        <v>312</v>
      </c>
      <c r="L16" s="2">
        <v>0</v>
      </c>
      <c r="M16" s="2">
        <v>400</v>
      </c>
      <c r="N16" s="2">
        <v>400</v>
      </c>
      <c r="O16" s="2">
        <v>400</v>
      </c>
      <c r="P16" s="2">
        <v>400</v>
      </c>
      <c r="Q16" s="2">
        <f t="shared" si="0"/>
        <v>380</v>
      </c>
      <c r="R16" s="64">
        <f>(Q16-N16)/N16</f>
        <v>-0.05</v>
      </c>
      <c r="T16" s="2">
        <f>SUM(P8:P9)</f>
        <v>25627.1</v>
      </c>
    </row>
    <row r="17" spans="1:18" ht="12.75">
      <c r="A17" t="s">
        <v>35</v>
      </c>
      <c r="B17" s="4">
        <v>52.36</v>
      </c>
      <c r="C17" s="2">
        <v>115</v>
      </c>
      <c r="D17" s="2">
        <v>680</v>
      </c>
      <c r="E17" s="2">
        <v>325</v>
      </c>
      <c r="F17" s="2">
        <v>375</v>
      </c>
      <c r="G17" s="2">
        <v>390</v>
      </c>
      <c r="H17" s="2">
        <v>408</v>
      </c>
      <c r="I17" s="2">
        <v>453</v>
      </c>
      <c r="J17" s="2">
        <v>365</v>
      </c>
      <c r="K17" s="2">
        <v>425</v>
      </c>
      <c r="L17" s="2">
        <v>0</v>
      </c>
      <c r="M17" s="2">
        <v>400</v>
      </c>
      <c r="N17" s="2">
        <v>395</v>
      </c>
      <c r="O17" s="2">
        <v>500</v>
      </c>
      <c r="P17" s="2">
        <v>395</v>
      </c>
      <c r="Q17" s="2">
        <f t="shared" si="0"/>
        <v>375.25</v>
      </c>
      <c r="R17" s="64">
        <f>(Q17-N17)/N17</f>
        <v>-0.05</v>
      </c>
    </row>
    <row r="18" spans="1:18" ht="12.75">
      <c r="A18" t="s">
        <v>100</v>
      </c>
      <c r="B18" s="4">
        <v>52.3601</v>
      </c>
      <c r="C18" s="2"/>
      <c r="D18" s="2"/>
      <c r="E18" s="2">
        <v>16590</v>
      </c>
      <c r="F18" s="2">
        <v>18480</v>
      </c>
      <c r="G18" s="2">
        <v>16980</v>
      </c>
      <c r="H18" s="2">
        <v>17460</v>
      </c>
      <c r="I18" s="2">
        <v>23535</v>
      </c>
      <c r="J18" s="2">
        <v>29480</v>
      </c>
      <c r="K18" s="2">
        <v>26845</v>
      </c>
      <c r="L18" s="2">
        <v>11830</v>
      </c>
      <c r="M18" s="2">
        <f t="shared" si="1"/>
        <v>23660</v>
      </c>
      <c r="N18" s="2">
        <v>25000</v>
      </c>
      <c r="O18" s="2">
        <v>30000</v>
      </c>
      <c r="P18" s="2">
        <v>25000</v>
      </c>
      <c r="Q18" s="2">
        <f t="shared" si="0"/>
        <v>23750</v>
      </c>
      <c r="R18" s="64">
        <f>(Q18-N18)/N18</f>
        <v>-0.05</v>
      </c>
    </row>
    <row r="19" spans="1:18" ht="12.75">
      <c r="A19" t="s">
        <v>287</v>
      </c>
      <c r="B19" s="4">
        <v>52.37</v>
      </c>
      <c r="C19" s="2"/>
      <c r="D19" s="2"/>
      <c r="E19" s="2"/>
      <c r="F19" s="2">
        <v>40</v>
      </c>
      <c r="G19" s="2">
        <v>150</v>
      </c>
      <c r="H19" s="2">
        <v>354</v>
      </c>
      <c r="I19" s="2"/>
      <c r="J19" s="2"/>
      <c r="K19" s="2"/>
      <c r="L19" s="2"/>
      <c r="M19" s="2">
        <f t="shared" si="1"/>
        <v>0</v>
      </c>
      <c r="N19" s="2"/>
      <c r="O19" s="2"/>
      <c r="P19" s="2"/>
      <c r="Q19" s="2">
        <f t="shared" si="0"/>
        <v>0</v>
      </c>
      <c r="R19" s="64"/>
    </row>
    <row r="20" spans="1:18" ht="12.75">
      <c r="A20" t="s">
        <v>696</v>
      </c>
      <c r="B20" s="4">
        <v>53.1737</v>
      </c>
      <c r="C20" s="2"/>
      <c r="D20" s="2"/>
      <c r="E20" s="2"/>
      <c r="F20" s="2"/>
      <c r="G20" s="2"/>
      <c r="H20" s="2"/>
      <c r="I20" s="2"/>
      <c r="J20" s="2"/>
      <c r="K20" s="2"/>
      <c r="L20" s="2">
        <v>167</v>
      </c>
      <c r="M20" s="2">
        <v>167</v>
      </c>
      <c r="N20" s="2"/>
      <c r="O20" s="2">
        <v>300</v>
      </c>
      <c r="P20" s="2"/>
      <c r="Q20" s="2">
        <f t="shared" si="0"/>
        <v>0</v>
      </c>
      <c r="R20" s="64"/>
    </row>
    <row r="21" spans="2:18" ht="12.75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0</v>
      </c>
      <c r="R21" s="64"/>
    </row>
    <row r="22" spans="1:18" ht="12.75">
      <c r="A22" t="s">
        <v>40</v>
      </c>
      <c r="B22" s="4">
        <v>53.171</v>
      </c>
      <c r="C22" s="2">
        <v>1273</v>
      </c>
      <c r="D22" s="2">
        <v>1502</v>
      </c>
      <c r="E22" s="2">
        <v>2093</v>
      </c>
      <c r="F22" s="2">
        <v>1792</v>
      </c>
      <c r="G22" s="2">
        <v>534</v>
      </c>
      <c r="H22" s="2">
        <v>1087</v>
      </c>
      <c r="I22" s="2">
        <v>1171</v>
      </c>
      <c r="J22" s="2">
        <v>470</v>
      </c>
      <c r="K22" s="2">
        <v>2173</v>
      </c>
      <c r="L22" s="2">
        <v>318</v>
      </c>
      <c r="M22" s="2">
        <f>+L22/$L$3*12</f>
        <v>636</v>
      </c>
      <c r="N22" s="2">
        <v>1500</v>
      </c>
      <c r="O22" s="2">
        <v>1500</v>
      </c>
      <c r="P22" s="2">
        <v>1000</v>
      </c>
      <c r="Q22" s="2">
        <f t="shared" si="0"/>
        <v>950</v>
      </c>
      <c r="R22" s="64">
        <f>(Q22-N22)/N22</f>
        <v>-0.36666666666666664</v>
      </c>
    </row>
    <row r="23" spans="1:19" ht="12.75">
      <c r="A23" t="s">
        <v>503</v>
      </c>
      <c r="B23" s="4">
        <v>57.108</v>
      </c>
      <c r="C23" s="2"/>
      <c r="D23" s="2"/>
      <c r="E23" s="2"/>
      <c r="F23" s="2"/>
      <c r="G23" s="2"/>
      <c r="H23" s="2">
        <v>1509</v>
      </c>
      <c r="I23" s="2">
        <v>1690</v>
      </c>
      <c r="J23" s="2">
        <v>2005</v>
      </c>
      <c r="K23" s="2">
        <v>1465</v>
      </c>
      <c r="L23" s="2">
        <v>1495</v>
      </c>
      <c r="M23" s="2">
        <f>+L23/$L$3*12</f>
        <v>2990</v>
      </c>
      <c r="N23" s="2">
        <v>3000</v>
      </c>
      <c r="O23" s="2">
        <v>3000</v>
      </c>
      <c r="P23" s="2">
        <v>3000</v>
      </c>
      <c r="Q23" s="2">
        <f t="shared" si="0"/>
        <v>2850</v>
      </c>
      <c r="R23" s="49">
        <f>(Q23-N23)/N23</f>
        <v>-0.05</v>
      </c>
      <c r="S23" t="s">
        <v>396</v>
      </c>
    </row>
    <row r="24" spans="1:18" ht="12.75">
      <c r="A24" s="6" t="s">
        <v>23</v>
      </c>
      <c r="B24" s="6"/>
      <c r="C24" s="8">
        <f>SUM(C7:C22)</f>
        <v>45517</v>
      </c>
      <c r="D24" s="8">
        <f>SUM(D7:D22)</f>
        <v>59773</v>
      </c>
      <c r="E24" s="8">
        <f>SUM(E8:E23)</f>
        <v>123167</v>
      </c>
      <c r="F24" s="8">
        <f>SUM(F7:F23)</f>
        <v>120603</v>
      </c>
      <c r="G24" s="8">
        <f>SUM(G7:G23)</f>
        <v>98891</v>
      </c>
      <c r="H24" s="8">
        <f>SUM(H7:H23)</f>
        <v>109895</v>
      </c>
      <c r="I24" s="8">
        <f>SUM(I7:I23)</f>
        <v>115279</v>
      </c>
      <c r="J24" s="8">
        <v>124035</v>
      </c>
      <c r="K24" s="8">
        <f aca="true" t="shared" si="2" ref="K24:Q24">SUM(K8:K23)</f>
        <v>116502</v>
      </c>
      <c r="L24" s="8">
        <f>SUM(L8:L23)</f>
        <v>56426</v>
      </c>
      <c r="M24" s="8">
        <f>SUM(M8:M23)</f>
        <v>116829.388</v>
      </c>
      <c r="N24" s="8">
        <f t="shared" si="2"/>
        <v>112622.1</v>
      </c>
      <c r="O24" s="8">
        <f t="shared" si="2"/>
        <v>114059.6</v>
      </c>
      <c r="P24" s="8">
        <f t="shared" si="2"/>
        <v>107122.1</v>
      </c>
      <c r="Q24" s="8">
        <f t="shared" si="2"/>
        <v>101765.995</v>
      </c>
      <c r="R24" s="50">
        <f>(Q24-N24)/N24</f>
        <v>-0.09639409139058862</v>
      </c>
    </row>
    <row r="25" spans="3:18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9"/>
    </row>
    <row r="26" spans="3:18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1" t="s">
        <v>357</v>
      </c>
      <c r="O26" s="21"/>
      <c r="P26" s="53">
        <f>O24-P24</f>
        <v>6937.5</v>
      </c>
      <c r="Q26" s="2"/>
      <c r="R26" s="49"/>
    </row>
    <row r="27" spans="14:18" ht="12.75">
      <c r="N27" s="21" t="s">
        <v>545</v>
      </c>
      <c r="O27" s="21"/>
      <c r="P27" s="53">
        <f>N24-P24</f>
        <v>5500</v>
      </c>
      <c r="R27" s="49"/>
    </row>
    <row r="28" spans="14:18" ht="12.75">
      <c r="N28" s="21" t="s">
        <v>307</v>
      </c>
      <c r="O28" s="21"/>
      <c r="P28" s="53">
        <f>P24-Q24</f>
        <v>5356.1050000000105</v>
      </c>
      <c r="R28" s="49"/>
    </row>
    <row r="29" spans="1:18" ht="12.75">
      <c r="A29" t="s">
        <v>439</v>
      </c>
      <c r="R29" s="49"/>
    </row>
    <row r="30" ht="12.75">
      <c r="R30" s="49"/>
    </row>
    <row r="31" spans="1:18" ht="12.75">
      <c r="A31" s="6"/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3" ht="12.75">
      <c r="R43" s="57"/>
    </row>
    <row r="76" ht="12.75">
      <c r="R76" s="2"/>
    </row>
    <row r="77" ht="12.75">
      <c r="R77" s="2"/>
    </row>
    <row r="78" ht="12.75">
      <c r="R78" s="2"/>
    </row>
    <row r="79" ht="12.75">
      <c r="R79" s="2"/>
    </row>
    <row r="80" ht="12.75">
      <c r="R80" s="2"/>
    </row>
    <row r="81" ht="12.75">
      <c r="R81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83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8" width="11.7109375" style="0" hidden="1" customWidth="1"/>
    <col min="9" max="12" width="11.7109375" style="0" customWidth="1"/>
    <col min="13" max="13" width="13.421875" style="0" bestFit="1" customWidth="1"/>
    <col min="14" max="17" width="11.71093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323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317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37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3" t="s">
        <v>22</v>
      </c>
    </row>
    <row r="7" spans="1:19" ht="12.75">
      <c r="A7" s="21" t="s">
        <v>491</v>
      </c>
      <c r="B7" s="4">
        <v>51.11</v>
      </c>
      <c r="C7" s="2">
        <v>123667</v>
      </c>
      <c r="D7" s="2">
        <v>129432</v>
      </c>
      <c r="E7" s="2">
        <v>137463</v>
      </c>
      <c r="F7" s="2">
        <v>155424</v>
      </c>
      <c r="G7" s="2">
        <v>160734</v>
      </c>
      <c r="H7" s="2">
        <v>171399</v>
      </c>
      <c r="I7" s="2">
        <v>183451</v>
      </c>
      <c r="J7" s="2">
        <v>192931</v>
      </c>
      <c r="K7" s="2">
        <v>207092</v>
      </c>
      <c r="L7" s="2">
        <v>105976</v>
      </c>
      <c r="M7" s="2">
        <f>+L7/$L$3*12</f>
        <v>211952</v>
      </c>
      <c r="N7" s="2">
        <v>219938.2902</v>
      </c>
      <c r="O7" s="2">
        <v>200000</v>
      </c>
      <c r="P7" s="2">
        <v>185226.249125</v>
      </c>
      <c r="Q7" s="2">
        <f>P7*0.95</f>
        <v>175964.93666875</v>
      </c>
      <c r="R7" s="64">
        <f>(Q7-N7)/N7</f>
        <v>-0.19993496126237506</v>
      </c>
      <c r="S7" t="s">
        <v>256</v>
      </c>
    </row>
    <row r="8" spans="1:19" ht="12.75">
      <c r="A8" t="s">
        <v>450</v>
      </c>
      <c r="B8" s="4">
        <v>51.12</v>
      </c>
      <c r="C8" s="2"/>
      <c r="D8" s="2"/>
      <c r="E8" s="2"/>
      <c r="F8" s="2"/>
      <c r="G8" s="2"/>
      <c r="H8" s="2"/>
      <c r="I8" s="2">
        <v>18500</v>
      </c>
      <c r="J8" s="2">
        <v>1866</v>
      </c>
      <c r="K8" s="2">
        <v>390</v>
      </c>
      <c r="L8" s="2">
        <v>3747</v>
      </c>
      <c r="M8" s="2">
        <v>5000</v>
      </c>
      <c r="N8" s="2">
        <v>2500</v>
      </c>
      <c r="O8" s="2">
        <v>2500</v>
      </c>
      <c r="P8" s="2"/>
      <c r="Q8" s="2"/>
      <c r="R8" s="64">
        <f>(Q8-N8)/N8</f>
        <v>-1</v>
      </c>
      <c r="S8" t="s">
        <v>375</v>
      </c>
    </row>
    <row r="9" spans="1:19" ht="12.75">
      <c r="A9" t="s">
        <v>360</v>
      </c>
      <c r="B9" s="4">
        <v>51.21</v>
      </c>
      <c r="C9" s="2">
        <v>10362</v>
      </c>
      <c r="D9" s="2">
        <v>12586</v>
      </c>
      <c r="E9" s="2">
        <v>15933</v>
      </c>
      <c r="F9" s="2">
        <v>14221</v>
      </c>
      <c r="G9" s="2">
        <v>15125</v>
      </c>
      <c r="H9" s="2">
        <v>15349</v>
      </c>
      <c r="I9" s="2">
        <v>15920</v>
      </c>
      <c r="J9" s="2">
        <v>16992</v>
      </c>
      <c r="K9" s="2">
        <v>20045</v>
      </c>
      <c r="L9" s="2">
        <v>10548</v>
      </c>
      <c r="M9" s="2">
        <f>+L9/$L$3*12</f>
        <v>21096</v>
      </c>
      <c r="N9" s="29">
        <v>22078.5</v>
      </c>
      <c r="O9" s="29">
        <v>24000</v>
      </c>
      <c r="P9" s="29">
        <f>4800*5</f>
        <v>24000</v>
      </c>
      <c r="Q9" s="29">
        <v>24000</v>
      </c>
      <c r="R9" s="64">
        <f>(Q9-N9)/N9</f>
        <v>0.08703036891093145</v>
      </c>
      <c r="S9" t="s">
        <v>605</v>
      </c>
    </row>
    <row r="10" spans="1:18" ht="12.75">
      <c r="A10" t="s">
        <v>30</v>
      </c>
      <c r="B10" s="4">
        <v>51.22</v>
      </c>
      <c r="C10" s="2">
        <v>8785</v>
      </c>
      <c r="D10" s="2">
        <v>9535</v>
      </c>
      <c r="E10" s="2">
        <v>10222</v>
      </c>
      <c r="F10" s="2">
        <v>11658</v>
      </c>
      <c r="G10" s="2">
        <v>11910</v>
      </c>
      <c r="H10" s="2">
        <v>12562</v>
      </c>
      <c r="I10" s="2">
        <v>14740</v>
      </c>
      <c r="J10" s="2">
        <v>14183</v>
      </c>
      <c r="K10" s="2">
        <v>15243</v>
      </c>
      <c r="L10" s="2">
        <v>7944</v>
      </c>
      <c r="M10" s="2">
        <f>+L10/$L$3*12</f>
        <v>15888</v>
      </c>
      <c r="N10" s="2">
        <v>17016.5292003</v>
      </c>
      <c r="O10" s="2">
        <v>14170</v>
      </c>
      <c r="P10" s="2">
        <f>(P7+P8)*0.0765</f>
        <v>14169.8080580625</v>
      </c>
      <c r="Q10" s="2">
        <f>(Q7+Q8)*0.0765</f>
        <v>13461.317655159373</v>
      </c>
      <c r="R10" s="64">
        <f>(Q10-N10)/N10</f>
        <v>-0.20892694998448616</v>
      </c>
    </row>
    <row r="11" spans="1:18" ht="12.75">
      <c r="A11" t="s">
        <v>102</v>
      </c>
      <c r="B11" s="4">
        <v>51.24</v>
      </c>
      <c r="C11" s="2">
        <v>2668</v>
      </c>
      <c r="D11" s="2">
        <v>2682</v>
      </c>
      <c r="E11" s="2">
        <v>2803</v>
      </c>
      <c r="F11" s="2">
        <v>3188</v>
      </c>
      <c r="G11" s="2">
        <v>3262</v>
      </c>
      <c r="H11" s="2">
        <v>3298</v>
      </c>
      <c r="I11" s="2">
        <v>3863</v>
      </c>
      <c r="J11" s="2">
        <v>4334</v>
      </c>
      <c r="K11" s="2">
        <v>4722</v>
      </c>
      <c r="L11" s="2">
        <v>2450</v>
      </c>
      <c r="M11" s="2">
        <f>+L11/$L$3*12</f>
        <v>4900</v>
      </c>
      <c r="N11" s="20">
        <v>5000</v>
      </c>
      <c r="O11" s="2">
        <v>3700</v>
      </c>
      <c r="P11" s="20">
        <v>3700</v>
      </c>
      <c r="Q11" s="2">
        <f aca="true" t="shared" si="0" ref="Q11:Q24">P11*0.95</f>
        <v>3515</v>
      </c>
      <c r="R11" s="64">
        <f>(Q11-N11)/N11</f>
        <v>-0.297</v>
      </c>
    </row>
    <row r="12" spans="1:19" ht="12.75">
      <c r="A12" t="s">
        <v>43</v>
      </c>
      <c r="B12" s="4"/>
      <c r="C12" s="2"/>
      <c r="D12" s="2"/>
      <c r="E12" s="2"/>
      <c r="F12" s="2"/>
      <c r="G12" s="2"/>
      <c r="H12" s="2"/>
      <c r="I12" s="2"/>
      <c r="J12" s="2">
        <v>570</v>
      </c>
      <c r="K12" s="2">
        <v>121</v>
      </c>
      <c r="L12" s="2"/>
      <c r="M12" s="2"/>
      <c r="N12" s="20"/>
      <c r="O12" s="2"/>
      <c r="P12" s="20"/>
      <c r="Q12" s="2">
        <f t="shared" si="0"/>
        <v>0</v>
      </c>
      <c r="R12" s="64"/>
      <c r="S12" s="18"/>
    </row>
    <row r="13" spans="1:19" ht="12.75">
      <c r="A13" t="s">
        <v>97</v>
      </c>
      <c r="B13" s="4">
        <v>52.121</v>
      </c>
      <c r="C13" s="2"/>
      <c r="D13" s="2"/>
      <c r="E13" s="2"/>
      <c r="F13" s="2"/>
      <c r="G13" s="2"/>
      <c r="H13" s="2"/>
      <c r="I13" s="2">
        <f>95+134</f>
        <v>229</v>
      </c>
      <c r="J13" s="2">
        <v>747</v>
      </c>
      <c r="K13" s="2">
        <v>157</v>
      </c>
      <c r="L13" s="2">
        <v>0</v>
      </c>
      <c r="M13" s="2">
        <f aca="true" t="shared" si="1" ref="M13:M18">+L13/$L$3*12</f>
        <v>0</v>
      </c>
      <c r="N13" s="20">
        <v>300</v>
      </c>
      <c r="O13" s="2">
        <v>0</v>
      </c>
      <c r="P13" s="20">
        <v>0</v>
      </c>
      <c r="Q13" s="2">
        <f t="shared" si="0"/>
        <v>0</v>
      </c>
      <c r="R13" s="64"/>
      <c r="S13" s="18"/>
    </row>
    <row r="14" spans="1:19" ht="12.75">
      <c r="A14" t="s">
        <v>103</v>
      </c>
      <c r="B14" s="4">
        <v>52.1315</v>
      </c>
      <c r="C14" s="2"/>
      <c r="D14" s="2"/>
      <c r="E14" s="2">
        <v>1976</v>
      </c>
      <c r="F14" s="2">
        <v>2756</v>
      </c>
      <c r="G14" s="2">
        <v>2755</v>
      </c>
      <c r="H14" s="2">
        <v>2350</v>
      </c>
      <c r="I14" s="2">
        <v>2838</v>
      </c>
      <c r="J14" s="2">
        <v>2033</v>
      </c>
      <c r="K14" s="2">
        <v>4772</v>
      </c>
      <c r="L14" s="2">
        <v>1493</v>
      </c>
      <c r="M14" s="2">
        <f t="shared" si="1"/>
        <v>2986</v>
      </c>
      <c r="N14" s="2">
        <v>2800</v>
      </c>
      <c r="O14" s="2">
        <v>2400</v>
      </c>
      <c r="P14" s="2">
        <v>2400</v>
      </c>
      <c r="Q14" s="2">
        <f t="shared" si="0"/>
        <v>2280</v>
      </c>
      <c r="R14" s="64">
        <f aca="true" t="shared" si="2" ref="R14:R31">(Q14-N14)/N14</f>
        <v>-0.18571428571428572</v>
      </c>
      <c r="S14" s="2"/>
    </row>
    <row r="15" spans="1:18" ht="12.75">
      <c r="A15" t="s">
        <v>381</v>
      </c>
      <c r="B15" s="4">
        <v>52.1316</v>
      </c>
      <c r="C15" s="2">
        <v>6133</v>
      </c>
      <c r="D15" s="2">
        <v>5869</v>
      </c>
      <c r="E15" s="2">
        <v>2355</v>
      </c>
      <c r="F15" s="2">
        <v>1478</v>
      </c>
      <c r="G15" s="2">
        <v>1592</v>
      </c>
      <c r="H15" s="2">
        <v>2614</v>
      </c>
      <c r="I15" s="2">
        <v>2445</v>
      </c>
      <c r="J15" s="2">
        <v>2687</v>
      </c>
      <c r="K15" s="2">
        <v>1386</v>
      </c>
      <c r="L15" s="2">
        <v>843</v>
      </c>
      <c r="M15" s="2">
        <f t="shared" si="1"/>
        <v>1686</v>
      </c>
      <c r="N15" s="2">
        <v>2500</v>
      </c>
      <c r="O15" s="2">
        <v>2500</v>
      </c>
      <c r="P15" s="2">
        <v>2000</v>
      </c>
      <c r="Q15" s="2">
        <f t="shared" si="0"/>
        <v>1900</v>
      </c>
      <c r="R15" s="64">
        <f t="shared" si="2"/>
        <v>-0.24</v>
      </c>
    </row>
    <row r="16" spans="1:18" ht="12.75">
      <c r="A16" t="s">
        <v>476</v>
      </c>
      <c r="B16" s="4">
        <v>52.2202</v>
      </c>
      <c r="C16" s="2"/>
      <c r="D16" s="2"/>
      <c r="E16" s="2">
        <v>223</v>
      </c>
      <c r="F16" s="2">
        <v>1146</v>
      </c>
      <c r="G16" s="2">
        <v>782</v>
      </c>
      <c r="H16" s="2">
        <v>960</v>
      </c>
      <c r="I16" s="2">
        <v>944</v>
      </c>
      <c r="J16" s="2">
        <f>1048+315</f>
        <v>1363</v>
      </c>
      <c r="K16" s="2">
        <v>1943</v>
      </c>
      <c r="L16" s="2">
        <v>1200</v>
      </c>
      <c r="M16" s="2">
        <f t="shared" si="1"/>
        <v>2400</v>
      </c>
      <c r="N16" s="2">
        <v>1250</v>
      </c>
      <c r="O16" s="2">
        <v>1800</v>
      </c>
      <c r="P16" s="2">
        <v>1250</v>
      </c>
      <c r="Q16" s="2">
        <f t="shared" si="0"/>
        <v>1187.5</v>
      </c>
      <c r="R16" s="64">
        <f t="shared" si="2"/>
        <v>-0.05</v>
      </c>
    </row>
    <row r="17" spans="1:18" ht="12.75">
      <c r="A17" t="s">
        <v>32</v>
      </c>
      <c r="B17" s="4">
        <v>52.32</v>
      </c>
      <c r="C17" s="2">
        <v>2889</v>
      </c>
      <c r="D17" s="2">
        <v>2671</v>
      </c>
      <c r="E17" s="2">
        <v>2414</v>
      </c>
      <c r="F17" s="2">
        <v>3021</v>
      </c>
      <c r="G17" s="2">
        <v>2284</v>
      </c>
      <c r="H17" s="2">
        <v>2401</v>
      </c>
      <c r="I17" s="2">
        <v>4100</v>
      </c>
      <c r="J17" s="2">
        <v>4470</v>
      </c>
      <c r="K17" s="2">
        <v>3356</v>
      </c>
      <c r="L17" s="2">
        <v>1674</v>
      </c>
      <c r="M17" s="2">
        <f>+L17/$L$3*12</f>
        <v>3348</v>
      </c>
      <c r="N17" s="2">
        <v>2500</v>
      </c>
      <c r="O17" s="2">
        <v>3000</v>
      </c>
      <c r="P17" s="2">
        <v>3000</v>
      </c>
      <c r="Q17" s="2">
        <f t="shared" si="0"/>
        <v>2850</v>
      </c>
      <c r="R17" s="64">
        <f t="shared" si="2"/>
        <v>0.14</v>
      </c>
    </row>
    <row r="18" spans="1:18" ht="12.75">
      <c r="A18" t="s">
        <v>33</v>
      </c>
      <c r="B18" s="4">
        <v>52.321</v>
      </c>
      <c r="C18" s="2">
        <v>2929</v>
      </c>
      <c r="D18" s="2">
        <v>2132</v>
      </c>
      <c r="E18" s="2">
        <v>2027</v>
      </c>
      <c r="F18" s="2">
        <v>2074</v>
      </c>
      <c r="G18" s="2">
        <v>2499</v>
      </c>
      <c r="H18" s="2">
        <v>2551</v>
      </c>
      <c r="I18" s="2">
        <v>2495</v>
      </c>
      <c r="J18" s="2">
        <v>2848</v>
      </c>
      <c r="K18" s="2">
        <f>3120+127</f>
        <v>3247</v>
      </c>
      <c r="L18" s="2">
        <v>1389</v>
      </c>
      <c r="M18" s="2">
        <f t="shared" si="1"/>
        <v>2778</v>
      </c>
      <c r="N18" s="2">
        <v>3000</v>
      </c>
      <c r="O18" s="2">
        <v>3000</v>
      </c>
      <c r="P18" s="2">
        <v>3000</v>
      </c>
      <c r="Q18" s="2">
        <f t="shared" si="0"/>
        <v>2850</v>
      </c>
      <c r="R18" s="64">
        <f t="shared" si="2"/>
        <v>-0.05</v>
      </c>
    </row>
    <row r="19" spans="1:18" ht="12.75">
      <c r="A19" t="s">
        <v>45</v>
      </c>
      <c r="B19" s="4">
        <v>52.35</v>
      </c>
      <c r="C19" s="2">
        <v>1300</v>
      </c>
      <c r="D19" s="2">
        <v>1698</v>
      </c>
      <c r="E19" s="2">
        <v>1635</v>
      </c>
      <c r="F19" s="2">
        <v>1716</v>
      </c>
      <c r="G19" s="2">
        <v>1819</v>
      </c>
      <c r="H19" s="2">
        <v>1667</v>
      </c>
      <c r="I19" s="2">
        <v>2456</v>
      </c>
      <c r="J19" s="2">
        <v>2002</v>
      </c>
      <c r="K19" s="2">
        <v>2105</v>
      </c>
      <c r="L19" s="2">
        <v>992</v>
      </c>
      <c r="M19" s="2">
        <v>1900</v>
      </c>
      <c r="N19" s="2">
        <v>1900</v>
      </c>
      <c r="O19" s="2">
        <v>1900</v>
      </c>
      <c r="P19" s="2">
        <v>1900</v>
      </c>
      <c r="Q19" s="2">
        <f t="shared" si="0"/>
        <v>1805</v>
      </c>
      <c r="R19" s="64">
        <f t="shared" si="2"/>
        <v>-0.05</v>
      </c>
    </row>
    <row r="20" spans="1:18" ht="12.75">
      <c r="A20" t="s">
        <v>555</v>
      </c>
      <c r="B20" s="4"/>
      <c r="C20" s="2"/>
      <c r="D20" s="2"/>
      <c r="E20" s="2"/>
      <c r="F20" s="2"/>
      <c r="G20" s="2"/>
      <c r="H20" s="2"/>
      <c r="I20" s="2"/>
      <c r="J20" s="2"/>
      <c r="K20" s="2">
        <v>300</v>
      </c>
      <c r="L20" s="2">
        <v>300</v>
      </c>
      <c r="M20" s="2">
        <v>600</v>
      </c>
      <c r="N20" s="2">
        <v>600</v>
      </c>
      <c r="O20" s="2">
        <v>600</v>
      </c>
      <c r="P20" s="2">
        <v>300</v>
      </c>
      <c r="Q20" s="2">
        <f t="shared" si="0"/>
        <v>285</v>
      </c>
      <c r="R20" s="64"/>
    </row>
    <row r="21" spans="1:18" ht="12.75">
      <c r="A21" t="s">
        <v>104</v>
      </c>
      <c r="B21" s="4">
        <v>52.3602</v>
      </c>
      <c r="C21" s="2">
        <v>550</v>
      </c>
      <c r="D21" s="2">
        <v>375</v>
      </c>
      <c r="E21" s="2">
        <v>380</v>
      </c>
      <c r="F21" s="2">
        <v>415</v>
      </c>
      <c r="G21" s="2">
        <v>415</v>
      </c>
      <c r="H21" s="2">
        <v>250</v>
      </c>
      <c r="I21" s="2">
        <v>330</v>
      </c>
      <c r="J21" s="2">
        <v>350</v>
      </c>
      <c r="K21" s="2">
        <v>350</v>
      </c>
      <c r="L21" s="2">
        <v>350</v>
      </c>
      <c r="M21" s="2">
        <v>350</v>
      </c>
      <c r="N21" s="2">
        <v>350</v>
      </c>
      <c r="O21" s="2">
        <v>350</v>
      </c>
      <c r="P21" s="2">
        <v>350</v>
      </c>
      <c r="Q21" s="2">
        <f t="shared" si="0"/>
        <v>332.5</v>
      </c>
      <c r="R21" s="64">
        <f t="shared" si="2"/>
        <v>-0.05</v>
      </c>
    </row>
    <row r="22" spans="1:19" ht="12.75">
      <c r="A22" t="s">
        <v>40</v>
      </c>
      <c r="B22" s="4">
        <v>53.171</v>
      </c>
      <c r="C22" s="2">
        <v>13174</v>
      </c>
      <c r="D22" s="2">
        <v>10837</v>
      </c>
      <c r="E22" s="2">
        <v>9536</v>
      </c>
      <c r="F22" s="2">
        <v>9916</v>
      </c>
      <c r="G22" s="2">
        <v>14151</v>
      </c>
      <c r="H22" s="2">
        <v>13161</v>
      </c>
      <c r="I22" s="2">
        <v>14175</v>
      </c>
      <c r="J22" s="2">
        <v>13126</v>
      </c>
      <c r="K22" s="2">
        <v>14274</v>
      </c>
      <c r="L22" s="2">
        <v>5360</v>
      </c>
      <c r="M22" s="2">
        <f>+L22/$L$3*12</f>
        <v>10720</v>
      </c>
      <c r="N22" s="2">
        <v>14000</v>
      </c>
      <c r="O22" s="2">
        <v>18000</v>
      </c>
      <c r="P22" s="2">
        <v>13000</v>
      </c>
      <c r="Q22" s="2">
        <f t="shared" si="0"/>
        <v>12350</v>
      </c>
      <c r="R22" s="64">
        <f t="shared" si="2"/>
        <v>-0.11785714285714285</v>
      </c>
      <c r="S22" s="2"/>
    </row>
    <row r="23" spans="1:19" ht="12.75">
      <c r="A23" t="s">
        <v>404</v>
      </c>
      <c r="B23" s="4">
        <v>53.16</v>
      </c>
      <c r="C23" s="2"/>
      <c r="D23" s="2"/>
      <c r="E23" s="2"/>
      <c r="F23" s="2"/>
      <c r="G23" s="2"/>
      <c r="H23" s="2">
        <v>1500</v>
      </c>
      <c r="I23" s="2"/>
      <c r="J23" s="2"/>
      <c r="K23" s="2">
        <v>5348</v>
      </c>
      <c r="L23" s="2"/>
      <c r="M23" s="2"/>
      <c r="N23" s="2"/>
      <c r="O23" s="2"/>
      <c r="P23" s="2"/>
      <c r="Q23" s="2">
        <f t="shared" si="0"/>
        <v>0</v>
      </c>
      <c r="R23" s="64"/>
      <c r="S23" s="20"/>
    </row>
    <row r="24" spans="1:19" ht="12.75">
      <c r="A24" t="s">
        <v>556</v>
      </c>
      <c r="B24" s="4">
        <v>52.2312</v>
      </c>
      <c r="C24" s="2"/>
      <c r="D24" s="2"/>
      <c r="E24" s="2"/>
      <c r="F24" s="2"/>
      <c r="G24" s="2"/>
      <c r="H24" s="2"/>
      <c r="I24" s="2"/>
      <c r="J24" s="2">
        <v>400</v>
      </c>
      <c r="K24" s="2">
        <v>1300</v>
      </c>
      <c r="L24" s="2">
        <v>600</v>
      </c>
      <c r="M24" s="2">
        <v>1200</v>
      </c>
      <c r="N24" s="2">
        <v>1200</v>
      </c>
      <c r="O24" s="2">
        <v>1200</v>
      </c>
      <c r="P24" s="2">
        <v>1200</v>
      </c>
      <c r="Q24" s="2">
        <f t="shared" si="0"/>
        <v>1140</v>
      </c>
      <c r="R24" s="64"/>
      <c r="S24" s="20"/>
    </row>
    <row r="25" spans="1:19" ht="12.75">
      <c r="A25" t="s">
        <v>698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>
        <v>293</v>
      </c>
      <c r="M25" s="2">
        <v>300</v>
      </c>
      <c r="N25" s="2"/>
      <c r="O25" s="2"/>
      <c r="P25" s="2"/>
      <c r="Q25" s="2"/>
      <c r="R25" s="64"/>
      <c r="S25" s="20"/>
    </row>
    <row r="26" spans="2:18" ht="12.7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49"/>
    </row>
    <row r="27" spans="1:18" ht="12.75">
      <c r="A27" t="s">
        <v>55</v>
      </c>
      <c r="B27" s="4">
        <v>54.23</v>
      </c>
      <c r="C27" s="2"/>
      <c r="D27" s="2"/>
      <c r="E27" s="2"/>
      <c r="F27" s="2"/>
      <c r="G27" s="2"/>
      <c r="H27" s="2"/>
      <c r="I27" s="2">
        <v>670</v>
      </c>
      <c r="J27" s="2"/>
      <c r="K27" s="2"/>
      <c r="L27" s="2"/>
      <c r="M27" s="2"/>
      <c r="N27" s="2"/>
      <c r="O27" s="2"/>
      <c r="P27" s="2"/>
      <c r="Q27" s="2"/>
      <c r="R27" s="49"/>
    </row>
    <row r="28" spans="1:19" ht="12.75">
      <c r="A28" t="s">
        <v>55</v>
      </c>
      <c r="B28" s="4">
        <v>54.25</v>
      </c>
      <c r="C28" s="5"/>
      <c r="D28" s="5"/>
      <c r="E28" s="5"/>
      <c r="F28" s="2">
        <v>240</v>
      </c>
      <c r="G28" s="2">
        <v>699</v>
      </c>
      <c r="H28" s="2">
        <v>1010</v>
      </c>
      <c r="I28" s="2">
        <v>11384</v>
      </c>
      <c r="J28" s="2">
        <v>9557</v>
      </c>
      <c r="K28" s="2"/>
      <c r="L28" s="2"/>
      <c r="M28" s="2"/>
      <c r="N28" s="2"/>
      <c r="O28" s="20">
        <v>8000</v>
      </c>
      <c r="P28" s="2"/>
      <c r="Q28" s="2"/>
      <c r="R28" s="49"/>
      <c r="S28" s="31"/>
    </row>
    <row r="29" spans="1:18" ht="12.75">
      <c r="A29" t="s">
        <v>210</v>
      </c>
      <c r="B29" s="4" t="s">
        <v>24</v>
      </c>
      <c r="C29" s="5">
        <v>695</v>
      </c>
      <c r="D29" s="5"/>
      <c r="E29" s="5"/>
      <c r="F29" s="5"/>
      <c r="G29" s="5"/>
      <c r="H29" s="5"/>
      <c r="I29" s="5"/>
      <c r="J29" s="5"/>
      <c r="K29" s="5"/>
      <c r="L29" s="5"/>
      <c r="M29" s="2"/>
      <c r="N29" s="2"/>
      <c r="O29" s="5"/>
      <c r="P29" s="2"/>
      <c r="Q29" s="2"/>
      <c r="R29" s="49"/>
    </row>
    <row r="30" spans="1:18" ht="12.75">
      <c r="A30" t="s">
        <v>264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9"/>
    </row>
    <row r="31" spans="1:18" ht="12.75">
      <c r="A31" s="6" t="s">
        <v>23</v>
      </c>
      <c r="B31" s="6"/>
      <c r="C31" s="8">
        <f aca="true" t="shared" si="3" ref="C31:I31">SUM(C7:C30)</f>
        <v>173152</v>
      </c>
      <c r="D31" s="8">
        <f t="shared" si="3"/>
        <v>177817</v>
      </c>
      <c r="E31" s="8">
        <f t="shared" si="3"/>
        <v>186967</v>
      </c>
      <c r="F31" s="8">
        <f t="shared" si="3"/>
        <v>207253</v>
      </c>
      <c r="G31" s="8">
        <f t="shared" si="3"/>
        <v>218027</v>
      </c>
      <c r="H31" s="8">
        <f t="shared" si="3"/>
        <v>231072</v>
      </c>
      <c r="I31" s="8">
        <f t="shared" si="3"/>
        <v>278540</v>
      </c>
      <c r="J31" s="8">
        <v>270720</v>
      </c>
      <c r="K31" s="8">
        <f aca="true" t="shared" si="4" ref="K31:Q31">SUM(K7:K30)</f>
        <v>286151</v>
      </c>
      <c r="L31" s="8">
        <f t="shared" si="4"/>
        <v>145159</v>
      </c>
      <c r="M31" s="8">
        <f t="shared" si="4"/>
        <v>287104</v>
      </c>
      <c r="N31" s="8">
        <f t="shared" si="4"/>
        <v>296933.3194003</v>
      </c>
      <c r="O31" s="8">
        <f t="shared" si="4"/>
        <v>287120</v>
      </c>
      <c r="P31" s="8">
        <f t="shared" si="4"/>
        <v>255496.0571830625</v>
      </c>
      <c r="Q31" s="8">
        <f t="shared" si="4"/>
        <v>243921.25432390935</v>
      </c>
      <c r="R31" s="50">
        <f t="shared" si="2"/>
        <v>-0.17853188447647508</v>
      </c>
    </row>
    <row r="32" spans="3:17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t="s">
        <v>223</v>
      </c>
      <c r="B33">
        <v>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1" t="s">
        <v>357</v>
      </c>
      <c r="O33" s="21"/>
      <c r="P33" s="53">
        <f>O31-P31</f>
        <v>31623.942816937488</v>
      </c>
      <c r="Q33" s="2"/>
    </row>
    <row r="34" spans="14:16" ht="12.75">
      <c r="N34" s="21" t="s">
        <v>545</v>
      </c>
      <c r="O34" s="21"/>
      <c r="P34" s="53">
        <f>N31-P31</f>
        <v>41437.26221723747</v>
      </c>
    </row>
    <row r="35" spans="14:16" ht="12.75">
      <c r="N35" s="21" t="s">
        <v>307</v>
      </c>
      <c r="O35" s="21"/>
      <c r="P35" s="53">
        <f>P31-Q31</f>
        <v>11574.802859153162</v>
      </c>
    </row>
    <row r="36" ht="12.75">
      <c r="A36" t="s">
        <v>633</v>
      </c>
    </row>
    <row r="37" ht="12.75">
      <c r="A37" t="s">
        <v>531</v>
      </c>
    </row>
    <row r="38" ht="12.75">
      <c r="A38" t="s">
        <v>769</v>
      </c>
    </row>
    <row r="39" ht="12.75">
      <c r="A39" t="s">
        <v>772</v>
      </c>
    </row>
    <row r="40" ht="12.75">
      <c r="A40" s="6"/>
    </row>
    <row r="78" ht="12.75">
      <c r="R78" s="2"/>
    </row>
    <row r="79" ht="12.75">
      <c r="R79" s="2"/>
    </row>
    <row r="80" ht="12.75">
      <c r="R80" s="2"/>
    </row>
    <row r="81" ht="12.75">
      <c r="R81" s="2"/>
    </row>
    <row r="82" ht="12.75">
      <c r="R82" s="2"/>
    </row>
    <row r="83" ht="12.75">
      <c r="R83" s="2"/>
    </row>
  </sheetData>
  <printOptions gridLines="1"/>
  <pageMargins left="0.25" right="0.25" top="1" bottom="0.55" header="0.5" footer="0.25"/>
  <pageSetup fitToHeight="1" fitToWidth="1" horizontalDpi="300" verticalDpi="300" orientation="landscape" scale="80" r:id="rId3"/>
  <headerFooter alignWithMargins="0">
    <oddFooter>&amp;L&amp;F
&amp;A&amp;CPage &amp;P of &amp;N&amp;R&amp;D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T78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6" width="6.8515625" style="0" hidden="1" customWidth="1"/>
    <col min="7" max="8" width="8.140625" style="0" hidden="1" customWidth="1"/>
    <col min="9" max="11" width="8.140625" style="0" customWidth="1"/>
    <col min="12" max="12" width="6.8515625" style="0" bestFit="1" customWidth="1"/>
    <col min="13" max="13" width="9.28125" style="0" bestFit="1" customWidth="1"/>
    <col min="14" max="14" width="11.57421875" style="0" customWidth="1"/>
    <col min="15" max="15" width="9.28125" style="0" bestFit="1" customWidth="1"/>
    <col min="16" max="16" width="11.7109375" style="0" customWidth="1"/>
    <col min="17" max="17" width="8.140625" style="0" bestFit="1" customWidth="1"/>
    <col min="18" max="18" width="9.57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324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316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s="58" t="s">
        <v>25</v>
      </c>
      <c r="B6" s="58"/>
      <c r="C6" s="37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3" t="s">
        <v>22</v>
      </c>
    </row>
    <row r="7" spans="1:18" ht="12.75">
      <c r="A7" t="s">
        <v>358</v>
      </c>
      <c r="B7" s="4">
        <v>52.385</v>
      </c>
      <c r="C7" s="2">
        <v>289</v>
      </c>
      <c r="D7" s="2">
        <v>1270</v>
      </c>
      <c r="E7" s="2">
        <v>83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9"/>
    </row>
    <row r="8" spans="1:18" ht="12.75">
      <c r="A8" t="s">
        <v>39</v>
      </c>
      <c r="B8" s="4">
        <v>53.12</v>
      </c>
      <c r="C8" s="2">
        <v>1923</v>
      </c>
      <c r="D8" s="2">
        <v>1838</v>
      </c>
      <c r="E8" s="2">
        <v>178</v>
      </c>
      <c r="F8" s="2">
        <v>1820</v>
      </c>
      <c r="G8" s="2">
        <v>1727</v>
      </c>
      <c r="H8" s="2">
        <v>1703</v>
      </c>
      <c r="I8" s="2">
        <v>1659</v>
      </c>
      <c r="J8" s="2">
        <v>2915</v>
      </c>
      <c r="K8" s="2">
        <v>3100</v>
      </c>
      <c r="L8" s="2">
        <v>1086</v>
      </c>
      <c r="M8" s="2">
        <f>+L8/$L$3*12</f>
        <v>2172</v>
      </c>
      <c r="N8" s="2">
        <v>2000</v>
      </c>
      <c r="O8" s="2">
        <v>2000</v>
      </c>
      <c r="P8" s="2">
        <v>2000</v>
      </c>
      <c r="Q8" s="2">
        <f>P8*0.95</f>
        <v>1900</v>
      </c>
      <c r="R8" s="64">
        <f>(Q8-N8)/N8</f>
        <v>-0.05</v>
      </c>
    </row>
    <row r="9" spans="1:18" ht="12.75">
      <c r="A9" t="s">
        <v>249</v>
      </c>
      <c r="B9" s="4">
        <v>53.13</v>
      </c>
      <c r="C9" s="2"/>
      <c r="D9" s="2"/>
      <c r="E9" s="2">
        <v>1573</v>
      </c>
      <c r="F9" s="2"/>
      <c r="G9" s="2"/>
      <c r="H9" s="2"/>
      <c r="I9" s="2"/>
      <c r="J9" s="2"/>
      <c r="K9" s="2"/>
      <c r="L9" s="2"/>
      <c r="M9" s="2"/>
      <c r="O9" s="2"/>
      <c r="R9" s="64"/>
    </row>
    <row r="10" spans="1:18" ht="12.75">
      <c r="A10" t="s">
        <v>105</v>
      </c>
      <c r="B10" s="4">
        <v>57.106</v>
      </c>
      <c r="C10" s="2">
        <v>4800</v>
      </c>
      <c r="D10" s="2">
        <v>4800</v>
      </c>
      <c r="E10" s="2">
        <v>4800</v>
      </c>
      <c r="F10" s="2">
        <v>4800</v>
      </c>
      <c r="G10" s="2">
        <v>4800</v>
      </c>
      <c r="H10" s="2">
        <v>4800</v>
      </c>
      <c r="I10" s="2">
        <v>4800</v>
      </c>
      <c r="J10" s="2">
        <v>4800</v>
      </c>
      <c r="K10" s="2">
        <v>4800</v>
      </c>
      <c r="L10" s="2">
        <v>1800</v>
      </c>
      <c r="M10" s="2">
        <v>5000</v>
      </c>
      <c r="N10" s="2">
        <v>7200</v>
      </c>
      <c r="O10" s="2">
        <v>7200</v>
      </c>
      <c r="P10" s="2">
        <v>7200</v>
      </c>
      <c r="Q10" s="2">
        <f>P10*0.95</f>
        <v>6840</v>
      </c>
      <c r="R10" s="64">
        <f>(Q10-N10)/N10</f>
        <v>-0.05</v>
      </c>
    </row>
    <row r="11" spans="1:18" ht="12.75">
      <c r="A11" t="s">
        <v>211</v>
      </c>
      <c r="B11" s="4" t="s">
        <v>24</v>
      </c>
      <c r="C11" s="2">
        <v>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9"/>
    </row>
    <row r="12" spans="1:18" ht="12.75">
      <c r="A12" t="s">
        <v>91</v>
      </c>
      <c r="B12" s="4" t="s">
        <v>24</v>
      </c>
      <c r="C12" s="2">
        <v>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9"/>
    </row>
    <row r="13" spans="3:18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9"/>
    </row>
    <row r="14" spans="1:18" ht="12.75">
      <c r="A14" s="6" t="s">
        <v>23</v>
      </c>
      <c r="B14" s="6"/>
      <c r="C14" s="8">
        <f>SUM(C7:C12)</f>
        <v>7071</v>
      </c>
      <c r="D14" s="8">
        <f>SUM(D7:D12)</f>
        <v>7908</v>
      </c>
      <c r="E14" s="8">
        <f>SUM(E7:E13)</f>
        <v>6634</v>
      </c>
      <c r="F14" s="8">
        <f>SUM(F7:F13)</f>
        <v>6620</v>
      </c>
      <c r="G14" s="8">
        <f>SUM(G7:G13)</f>
        <v>6527</v>
      </c>
      <c r="H14" s="8">
        <f>SUM(H7:H13)</f>
        <v>6503</v>
      </c>
      <c r="I14" s="8">
        <f>SUM(I7:I13)</f>
        <v>6459</v>
      </c>
      <c r="J14" s="8">
        <v>7715</v>
      </c>
      <c r="K14" s="8">
        <f aca="true" t="shared" si="0" ref="K14:Q14">SUM(K7:K12)</f>
        <v>7900</v>
      </c>
      <c r="L14" s="8">
        <f t="shared" si="0"/>
        <v>2886</v>
      </c>
      <c r="M14" s="8">
        <f t="shared" si="0"/>
        <v>7172</v>
      </c>
      <c r="N14" s="8">
        <f t="shared" si="0"/>
        <v>9200</v>
      </c>
      <c r="O14" s="8">
        <f t="shared" si="0"/>
        <v>9200</v>
      </c>
      <c r="P14" s="8">
        <f t="shared" si="0"/>
        <v>9200</v>
      </c>
      <c r="Q14" s="8">
        <f t="shared" si="0"/>
        <v>8740</v>
      </c>
      <c r="R14" s="49">
        <f>(Q14-N14)/N14</f>
        <v>-0.05</v>
      </c>
    </row>
    <row r="15" spans="3:18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9"/>
    </row>
    <row r="16" spans="3:18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1" t="s">
        <v>357</v>
      </c>
      <c r="O16" s="21"/>
      <c r="P16" s="53">
        <f>O14-P14</f>
        <v>0</v>
      </c>
      <c r="Q16" s="2"/>
      <c r="R16" s="49"/>
    </row>
    <row r="17" spans="1:18" ht="12.75">
      <c r="A17" s="6"/>
      <c r="N17" s="21" t="s">
        <v>545</v>
      </c>
      <c r="O17" s="21"/>
      <c r="P17" s="53">
        <f>N14-P14</f>
        <v>0</v>
      </c>
      <c r="R17" s="49"/>
    </row>
    <row r="18" spans="14:18" ht="12.75">
      <c r="N18" s="21" t="s">
        <v>307</v>
      </c>
      <c r="O18" s="21"/>
      <c r="P18" s="53">
        <f>P14-Q14</f>
        <v>460</v>
      </c>
      <c r="R18" s="49"/>
    </row>
    <row r="19" ht="12.75">
      <c r="R19" s="49"/>
    </row>
    <row r="20" spans="1:20" ht="12.75">
      <c r="A20" s="6"/>
      <c r="R20" s="49"/>
      <c r="T20" t="s">
        <v>489</v>
      </c>
    </row>
    <row r="21" ht="12.75">
      <c r="R21" s="49"/>
    </row>
    <row r="22" ht="12.75">
      <c r="R22" s="49"/>
    </row>
    <row r="23" ht="12.75">
      <c r="R23" s="49"/>
    </row>
    <row r="24" ht="12.75">
      <c r="R24" s="57"/>
    </row>
    <row r="73" ht="12.75">
      <c r="R73" s="2"/>
    </row>
    <row r="74" ht="12.75">
      <c r="R74" s="2"/>
    </row>
    <row r="75" ht="12.75">
      <c r="R75" s="2"/>
    </row>
    <row r="76" ht="12.75">
      <c r="R76" s="2"/>
    </row>
    <row r="77" ht="12.75">
      <c r="R77" s="2"/>
    </row>
    <row r="78" ht="12.75">
      <c r="R78" s="2"/>
    </row>
  </sheetData>
  <printOptions gridLines="1"/>
  <pageMargins left="0.25" right="0.25" top="1" bottom="0.55" header="0.5" footer="0.25"/>
  <pageSetup fitToHeight="1" fitToWidth="1" horizontalDpi="300" verticalDpi="300" orientation="landscape" scale="89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S84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3.57421875" style="0" hidden="1" customWidth="1"/>
    <col min="4" max="4" width="8.7109375" style="0" hidden="1" customWidth="1"/>
    <col min="5" max="5" width="9.140625" style="0" hidden="1" customWidth="1"/>
    <col min="6" max="8" width="8.7109375" style="0" hidden="1" customWidth="1"/>
    <col min="9" max="11" width="8.7109375" style="0" customWidth="1"/>
    <col min="12" max="12" width="8.28125" style="0" bestFit="1" customWidth="1"/>
    <col min="13" max="13" width="9.7109375" style="0" bestFit="1" customWidth="1"/>
    <col min="14" max="14" width="12.140625" style="0" customWidth="1"/>
    <col min="16" max="16" width="10.7109375" style="0" bestFit="1" customWidth="1"/>
    <col min="17" max="17" width="11.140625" style="0" bestFit="1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326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317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s="58" t="s">
        <v>25</v>
      </c>
      <c r="B6" s="58"/>
      <c r="C6" s="37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9" ht="12.75">
      <c r="A7" s="21" t="s">
        <v>491</v>
      </c>
      <c r="B7" s="4">
        <v>51.11</v>
      </c>
      <c r="C7" s="2">
        <v>76809</v>
      </c>
      <c r="D7" s="2">
        <v>82058</v>
      </c>
      <c r="E7" s="2">
        <v>86099</v>
      </c>
      <c r="F7" s="2">
        <v>96565</v>
      </c>
      <c r="G7" s="2">
        <v>100960</v>
      </c>
      <c r="H7" s="2">
        <v>107114</v>
      </c>
      <c r="I7" s="2">
        <v>109140</v>
      </c>
      <c r="J7" s="2">
        <v>116538</v>
      </c>
      <c r="K7" s="2">
        <v>132432</v>
      </c>
      <c r="L7" s="2">
        <v>69297</v>
      </c>
      <c r="M7" s="2">
        <f>+L7/$L$3*12</f>
        <v>138594</v>
      </c>
      <c r="N7" s="2">
        <v>140332.2174</v>
      </c>
      <c r="O7" s="2">
        <v>152389</v>
      </c>
      <c r="P7" s="2">
        <v>152388.99</v>
      </c>
      <c r="Q7" s="2">
        <v>152388.99</v>
      </c>
      <c r="R7" s="64">
        <f aca="true" t="shared" si="0" ref="R7:R23">(Q7-N7)/N7</f>
        <v>0.08591592738560973</v>
      </c>
      <c r="S7" t="s">
        <v>256</v>
      </c>
    </row>
    <row r="8" spans="1:18" ht="12.75">
      <c r="A8" s="21" t="s">
        <v>653</v>
      </c>
      <c r="B8" s="4">
        <v>52.1208</v>
      </c>
      <c r="C8" s="2"/>
      <c r="D8" s="2"/>
      <c r="E8" s="2"/>
      <c r="F8" s="2"/>
      <c r="G8" s="2"/>
      <c r="H8" s="2"/>
      <c r="I8" s="2"/>
      <c r="J8" s="2"/>
      <c r="K8" s="2">
        <v>2400</v>
      </c>
      <c r="L8" s="2"/>
      <c r="M8" s="2"/>
      <c r="N8" s="2"/>
      <c r="O8" s="2"/>
      <c r="P8" s="2"/>
      <c r="Q8" s="2"/>
      <c r="R8" s="64"/>
    </row>
    <row r="9" spans="1:19" ht="12.75">
      <c r="A9" t="s">
        <v>360</v>
      </c>
      <c r="B9" s="4">
        <v>51.21</v>
      </c>
      <c r="C9" s="2">
        <v>6031</v>
      </c>
      <c r="D9" s="2">
        <v>7552</v>
      </c>
      <c r="E9" s="2">
        <v>9559</v>
      </c>
      <c r="F9" s="2">
        <v>8497</v>
      </c>
      <c r="G9" s="2">
        <v>9046</v>
      </c>
      <c r="H9" s="2">
        <v>9442</v>
      </c>
      <c r="I9" s="2">
        <v>9527</v>
      </c>
      <c r="J9" s="2">
        <v>10158</v>
      </c>
      <c r="K9" s="2">
        <v>11990</v>
      </c>
      <c r="L9" s="2">
        <v>6315</v>
      </c>
      <c r="M9" s="2">
        <f>+L9/$L$3*12</f>
        <v>12630</v>
      </c>
      <c r="N9" s="29">
        <v>13247.1</v>
      </c>
      <c r="O9" s="29">
        <v>14400</v>
      </c>
      <c r="P9" s="29">
        <f>3*4800</f>
        <v>14400</v>
      </c>
      <c r="Q9" s="29">
        <f>3*4800</f>
        <v>14400</v>
      </c>
      <c r="R9" s="64">
        <f t="shared" si="0"/>
        <v>0.08703036891093142</v>
      </c>
      <c r="S9" t="s">
        <v>605</v>
      </c>
    </row>
    <row r="10" spans="1:18" ht="12.75">
      <c r="A10" t="s">
        <v>30</v>
      </c>
      <c r="B10" s="4">
        <v>51.22</v>
      </c>
      <c r="C10" s="2">
        <v>5875</v>
      </c>
      <c r="D10" s="2">
        <v>6277</v>
      </c>
      <c r="E10" s="2">
        <v>6586</v>
      </c>
      <c r="F10" s="2">
        <v>7405</v>
      </c>
      <c r="G10" s="2">
        <v>7709</v>
      </c>
      <c r="H10" s="2">
        <v>8174</v>
      </c>
      <c r="I10" s="2">
        <v>8301</v>
      </c>
      <c r="J10" s="2">
        <v>8863</v>
      </c>
      <c r="K10" s="2">
        <v>10082</v>
      </c>
      <c r="L10" s="2">
        <v>5278</v>
      </c>
      <c r="M10" s="2">
        <f>+L10/$L$3*12</f>
        <v>10556</v>
      </c>
      <c r="N10" s="2">
        <v>10735.414631099999</v>
      </c>
      <c r="O10" s="2">
        <v>11658</v>
      </c>
      <c r="P10" s="2">
        <f>P7*0.0765</f>
        <v>11657.757735</v>
      </c>
      <c r="Q10" s="2">
        <f>Q7*0.0765</f>
        <v>11657.757735</v>
      </c>
      <c r="R10" s="64">
        <f t="shared" si="0"/>
        <v>0.08591592738560981</v>
      </c>
    </row>
    <row r="11" spans="1:18" ht="12.75">
      <c r="A11" t="s">
        <v>44</v>
      </c>
      <c r="B11" s="4">
        <v>51.24</v>
      </c>
      <c r="C11" s="2">
        <v>724</v>
      </c>
      <c r="D11" s="2">
        <v>879</v>
      </c>
      <c r="E11" s="2">
        <v>1254</v>
      </c>
      <c r="F11" s="2">
        <v>1596</v>
      </c>
      <c r="G11" s="2">
        <v>1779</v>
      </c>
      <c r="H11" s="2">
        <v>1827</v>
      </c>
      <c r="I11" s="2">
        <v>2105</v>
      </c>
      <c r="J11" s="2">
        <v>2311</v>
      </c>
      <c r="K11" s="2">
        <v>2730</v>
      </c>
      <c r="L11" s="2">
        <v>1478</v>
      </c>
      <c r="M11" s="2">
        <f>+L11/$L$3*12</f>
        <v>2956</v>
      </c>
      <c r="N11" s="2">
        <v>3000</v>
      </c>
      <c r="O11" s="2">
        <v>5000</v>
      </c>
      <c r="P11" s="2">
        <v>5000</v>
      </c>
      <c r="Q11" s="2">
        <v>5000</v>
      </c>
      <c r="R11" s="64">
        <f t="shared" si="0"/>
        <v>0.6666666666666666</v>
      </c>
    </row>
    <row r="12" spans="2:18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4"/>
    </row>
    <row r="13" spans="1:19" ht="12.75">
      <c r="A13" t="s">
        <v>62</v>
      </c>
      <c r="B13" s="4">
        <v>52.1316</v>
      </c>
      <c r="C13" s="2"/>
      <c r="D13" s="2"/>
      <c r="E13" s="2"/>
      <c r="F13" s="2"/>
      <c r="G13" s="2"/>
      <c r="H13" s="2"/>
      <c r="I13" s="2"/>
      <c r="J13" s="2">
        <v>846</v>
      </c>
      <c r="K13" s="2">
        <v>973</v>
      </c>
      <c r="L13" s="2">
        <v>759</v>
      </c>
      <c r="M13" s="2">
        <v>930</v>
      </c>
      <c r="N13" s="2">
        <v>930</v>
      </c>
      <c r="O13" s="2">
        <v>930</v>
      </c>
      <c r="P13" s="2">
        <v>930</v>
      </c>
      <c r="Q13" s="2">
        <v>930</v>
      </c>
      <c r="R13" s="64"/>
      <c r="S13" s="2"/>
    </row>
    <row r="14" spans="1:18" ht="12.75">
      <c r="A14" t="s">
        <v>53</v>
      </c>
      <c r="B14" s="4">
        <v>52.2204</v>
      </c>
      <c r="C14" s="2"/>
      <c r="D14" s="2"/>
      <c r="E14" s="2"/>
      <c r="F14" s="2"/>
      <c r="G14" s="2"/>
      <c r="H14" s="2"/>
      <c r="I14" s="2">
        <v>1540</v>
      </c>
      <c r="J14" s="2"/>
      <c r="K14" s="2"/>
      <c r="L14" s="2"/>
      <c r="M14" s="2"/>
      <c r="N14" s="2"/>
      <c r="O14" s="2"/>
      <c r="P14" s="2"/>
      <c r="Q14" s="2"/>
      <c r="R14" s="64"/>
    </row>
    <row r="15" spans="1:19" ht="12.75">
      <c r="A15" t="s">
        <v>48</v>
      </c>
      <c r="B15" s="4">
        <v>52.12</v>
      </c>
      <c r="C15" s="2"/>
      <c r="D15" s="2"/>
      <c r="E15" s="2"/>
      <c r="F15" s="2">
        <v>215</v>
      </c>
      <c r="G15" s="2"/>
      <c r="H15" s="2"/>
      <c r="I15" s="2"/>
      <c r="J15" s="2">
        <v>3400</v>
      </c>
      <c r="K15" s="2"/>
      <c r="L15" s="2"/>
      <c r="M15" s="2"/>
      <c r="N15" s="2">
        <v>2400</v>
      </c>
      <c r="O15" s="2"/>
      <c r="P15" s="2"/>
      <c r="Q15" s="2"/>
      <c r="R15" s="64">
        <v>0.47619047619047616</v>
      </c>
      <c r="S15" t="s">
        <v>374</v>
      </c>
    </row>
    <row r="16" spans="1:18" ht="12.75">
      <c r="A16" t="s">
        <v>702</v>
      </c>
      <c r="B16" s="4">
        <v>52.1208</v>
      </c>
      <c r="C16" s="2"/>
      <c r="D16" s="2"/>
      <c r="E16" s="2"/>
      <c r="F16" s="2"/>
      <c r="G16" s="2"/>
      <c r="H16" s="2"/>
      <c r="I16" s="2"/>
      <c r="J16" s="2"/>
      <c r="K16" s="2"/>
      <c r="L16" s="2">
        <v>1200</v>
      </c>
      <c r="M16" s="2">
        <v>1200</v>
      </c>
      <c r="N16" s="2"/>
      <c r="O16" s="2">
        <v>2400</v>
      </c>
      <c r="P16" s="2">
        <v>2400</v>
      </c>
      <c r="Q16" s="2">
        <v>2400</v>
      </c>
      <c r="R16" s="64"/>
    </row>
    <row r="17" spans="1:18" ht="12.75">
      <c r="A17" t="s">
        <v>32</v>
      </c>
      <c r="B17" s="4">
        <v>52.32</v>
      </c>
      <c r="C17" s="2">
        <v>2204</v>
      </c>
      <c r="D17" s="2">
        <v>1993</v>
      </c>
      <c r="E17" s="2">
        <v>2255</v>
      </c>
      <c r="F17" s="2">
        <v>2379</v>
      </c>
      <c r="G17" s="2">
        <v>2255</v>
      </c>
      <c r="H17" s="2">
        <v>2995</v>
      </c>
      <c r="I17" s="2">
        <v>3027</v>
      </c>
      <c r="J17" s="2">
        <v>2750</v>
      </c>
      <c r="K17" s="2">
        <v>3376</v>
      </c>
      <c r="L17" s="2">
        <v>1484</v>
      </c>
      <c r="M17" s="2">
        <f>+L17/$L$3*12</f>
        <v>2968</v>
      </c>
      <c r="N17" s="2">
        <v>2500</v>
      </c>
      <c r="O17" s="2">
        <v>2500</v>
      </c>
      <c r="P17" s="2">
        <v>2500</v>
      </c>
      <c r="Q17" s="2">
        <v>2500</v>
      </c>
      <c r="R17" s="64">
        <f t="shared" si="0"/>
        <v>0</v>
      </c>
    </row>
    <row r="18" spans="1:18" ht="12.75">
      <c r="A18" t="s">
        <v>33</v>
      </c>
      <c r="B18" s="4">
        <v>52.321</v>
      </c>
      <c r="C18" s="2">
        <v>1926</v>
      </c>
      <c r="D18" s="2">
        <v>2096</v>
      </c>
      <c r="E18" s="2">
        <v>2072</v>
      </c>
      <c r="F18" s="2">
        <v>2598</v>
      </c>
      <c r="G18" s="2">
        <v>2569</v>
      </c>
      <c r="H18" s="2">
        <v>1671</v>
      </c>
      <c r="I18" s="2">
        <v>2571</v>
      </c>
      <c r="J18" s="2">
        <v>3028</v>
      </c>
      <c r="K18" s="2">
        <v>912</v>
      </c>
      <c r="L18" s="2">
        <v>1181</v>
      </c>
      <c r="M18" s="2">
        <f>+L18/$L$3*12</f>
        <v>2362</v>
      </c>
      <c r="N18" s="2">
        <v>2600</v>
      </c>
      <c r="O18" s="2">
        <v>2600</v>
      </c>
      <c r="P18" s="2">
        <v>2400</v>
      </c>
      <c r="Q18" s="2">
        <v>2600</v>
      </c>
      <c r="R18" s="64">
        <f t="shared" si="0"/>
        <v>0</v>
      </c>
    </row>
    <row r="19" spans="1:18" ht="12.75">
      <c r="A19" t="s">
        <v>45</v>
      </c>
      <c r="B19" s="4">
        <v>52.35</v>
      </c>
      <c r="C19" s="2">
        <v>2246</v>
      </c>
      <c r="D19" s="2">
        <v>2726</v>
      </c>
      <c r="E19" s="2">
        <v>2234</v>
      </c>
      <c r="F19" s="2">
        <v>1932</v>
      </c>
      <c r="G19" s="2">
        <v>2156</v>
      </c>
      <c r="H19" s="2">
        <v>1972</v>
      </c>
      <c r="I19" s="2">
        <v>1931</v>
      </c>
      <c r="J19" s="2">
        <v>1354</v>
      </c>
      <c r="K19" s="2">
        <v>1894</v>
      </c>
      <c r="L19" s="2">
        <v>294</v>
      </c>
      <c r="M19" s="2">
        <f>+L19/$L$3*12</f>
        <v>588</v>
      </c>
      <c r="N19" s="2">
        <v>2000</v>
      </c>
      <c r="O19" s="2">
        <v>2000</v>
      </c>
      <c r="P19" s="2">
        <v>1800</v>
      </c>
      <c r="Q19" s="2">
        <v>1800</v>
      </c>
      <c r="R19" s="64">
        <f t="shared" si="0"/>
        <v>-0.1</v>
      </c>
    </row>
    <row r="20" spans="1:18" ht="12.75">
      <c r="A20" t="s">
        <v>35</v>
      </c>
      <c r="B20" s="4">
        <v>52.3602</v>
      </c>
      <c r="C20" s="2">
        <v>85</v>
      </c>
      <c r="D20" s="2">
        <v>75</v>
      </c>
      <c r="E20" s="2">
        <v>70</v>
      </c>
      <c r="F20" s="2">
        <v>115</v>
      </c>
      <c r="G20" s="2"/>
      <c r="H20" s="2">
        <v>220</v>
      </c>
      <c r="I20" s="2">
        <v>160</v>
      </c>
      <c r="J20" s="2">
        <v>160</v>
      </c>
      <c r="K20" s="2">
        <v>110</v>
      </c>
      <c r="L20" s="2">
        <v>300</v>
      </c>
      <c r="M20" s="2">
        <v>115</v>
      </c>
      <c r="N20" s="2">
        <v>115</v>
      </c>
      <c r="O20" s="2">
        <v>300</v>
      </c>
      <c r="P20" s="2">
        <v>115</v>
      </c>
      <c r="Q20" s="2">
        <v>310</v>
      </c>
      <c r="R20" s="64">
        <f t="shared" si="0"/>
        <v>1.6956521739130435</v>
      </c>
    </row>
    <row r="21" spans="1:18" ht="12.75">
      <c r="A21" t="s">
        <v>46</v>
      </c>
      <c r="B21" s="4">
        <v>52.37</v>
      </c>
      <c r="C21" s="2"/>
      <c r="D21" s="2"/>
      <c r="E21" s="2">
        <v>500</v>
      </c>
      <c r="F21" s="2">
        <v>465</v>
      </c>
      <c r="G21" s="2">
        <v>537</v>
      </c>
      <c r="H21" s="2">
        <v>645</v>
      </c>
      <c r="I21" s="2"/>
      <c r="J21" s="2"/>
      <c r="K21" s="2">
        <v>525</v>
      </c>
      <c r="L21" s="2">
        <v>795</v>
      </c>
      <c r="M21" s="2">
        <v>800</v>
      </c>
      <c r="N21" s="2">
        <v>555</v>
      </c>
      <c r="O21" s="2">
        <v>805</v>
      </c>
      <c r="P21" s="2">
        <v>805</v>
      </c>
      <c r="Q21" s="2">
        <v>805</v>
      </c>
      <c r="R21" s="64"/>
    </row>
    <row r="22" spans="2:18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64"/>
    </row>
    <row r="23" spans="1:19" ht="12.75">
      <c r="A23" t="s">
        <v>40</v>
      </c>
      <c r="B23" s="4">
        <v>53.171</v>
      </c>
      <c r="C23" s="2">
        <v>3762</v>
      </c>
      <c r="D23" s="2">
        <v>5773</v>
      </c>
      <c r="E23" s="2">
        <v>3279</v>
      </c>
      <c r="F23" s="2">
        <v>3332</v>
      </c>
      <c r="G23" s="2">
        <v>3316</v>
      </c>
      <c r="H23" s="2">
        <v>2551</v>
      </c>
      <c r="I23" s="2">
        <v>2977</v>
      </c>
      <c r="J23" s="2">
        <v>3023</v>
      </c>
      <c r="K23" s="2">
        <v>2718</v>
      </c>
      <c r="L23" s="2">
        <v>1592</v>
      </c>
      <c r="M23" s="2">
        <f>+L23/$L$3*12</f>
        <v>3184</v>
      </c>
      <c r="N23" s="2">
        <v>3000</v>
      </c>
      <c r="O23" s="2">
        <v>3000</v>
      </c>
      <c r="P23" s="2">
        <v>3000</v>
      </c>
      <c r="Q23" s="2">
        <v>3000</v>
      </c>
      <c r="R23" s="64">
        <f t="shared" si="0"/>
        <v>0</v>
      </c>
      <c r="S23" s="2"/>
    </row>
    <row r="24" spans="1:19" ht="12.75">
      <c r="A24" t="s">
        <v>703</v>
      </c>
      <c r="B24" s="4">
        <v>53.1737</v>
      </c>
      <c r="C24" s="2"/>
      <c r="D24" s="2"/>
      <c r="E24" s="2"/>
      <c r="F24" s="2"/>
      <c r="G24" s="2"/>
      <c r="H24" s="2"/>
      <c r="I24" s="2"/>
      <c r="J24" s="2"/>
      <c r="K24" s="2"/>
      <c r="L24" s="2">
        <v>167</v>
      </c>
      <c r="M24" s="2">
        <v>170</v>
      </c>
      <c r="N24" s="2"/>
      <c r="O24" s="2"/>
      <c r="P24" s="2"/>
      <c r="Q24" s="2"/>
      <c r="R24" s="64"/>
      <c r="S24" s="2"/>
    </row>
    <row r="25" spans="1:18" ht="12.75">
      <c r="A25" t="s">
        <v>240</v>
      </c>
      <c r="B25" s="4">
        <v>53.179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4"/>
    </row>
    <row r="26" spans="1:18" ht="12.75">
      <c r="A26" t="s">
        <v>451</v>
      </c>
      <c r="C26" s="2"/>
      <c r="D26" s="2"/>
      <c r="E26" s="2"/>
      <c r="F26" s="2"/>
      <c r="G26" s="2"/>
      <c r="H26" s="2">
        <v>80</v>
      </c>
      <c r="I26" s="2">
        <v>3800</v>
      </c>
      <c r="J26" s="2"/>
      <c r="K26" s="2"/>
      <c r="L26" s="2"/>
      <c r="N26" s="2"/>
      <c r="O26" s="2"/>
      <c r="P26" s="2"/>
      <c r="Q26" s="2"/>
      <c r="R26" s="64"/>
    </row>
    <row r="27" spans="1:18" ht="12.75">
      <c r="A27" t="s">
        <v>473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  <c r="P27" s="2"/>
      <c r="Q27" s="2"/>
      <c r="R27" s="64"/>
    </row>
    <row r="28" spans="1:19" ht="12.75">
      <c r="A28" t="s">
        <v>121</v>
      </c>
      <c r="B28" s="4">
        <v>54.24</v>
      </c>
      <c r="C28" s="5"/>
      <c r="D28" s="5"/>
      <c r="E28" s="2">
        <v>1528</v>
      </c>
      <c r="F28" s="2">
        <v>1654</v>
      </c>
      <c r="G28" s="2">
        <v>245</v>
      </c>
      <c r="H28" s="2"/>
      <c r="I28" s="2">
        <v>1324</v>
      </c>
      <c r="J28" s="2">
        <v>1156</v>
      </c>
      <c r="K28" s="2">
        <v>977</v>
      </c>
      <c r="L28" s="2">
        <v>1230</v>
      </c>
      <c r="M28" s="2">
        <v>1230</v>
      </c>
      <c r="N28" s="2"/>
      <c r="O28" s="2"/>
      <c r="P28" s="2"/>
      <c r="Q28" s="2"/>
      <c r="R28" s="64"/>
      <c r="S28" s="31"/>
    </row>
    <row r="29" spans="2:18" ht="12.7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9"/>
    </row>
    <row r="30" spans="1:18" ht="12.75">
      <c r="A30" s="6" t="s">
        <v>23</v>
      </c>
      <c r="B30" s="6"/>
      <c r="C30" s="7">
        <f>SUM(C7:C26)</f>
        <v>99662</v>
      </c>
      <c r="D30" s="8">
        <f>SUM(D7:D26)</f>
        <v>109429</v>
      </c>
      <c r="E30" s="8">
        <f>SUM(E7:E29)</f>
        <v>115436</v>
      </c>
      <c r="F30" s="8">
        <f>SUM(F7:F29)</f>
        <v>126753</v>
      </c>
      <c r="G30" s="8">
        <f>SUM(G7:G29)</f>
        <v>130572</v>
      </c>
      <c r="H30" s="8">
        <f>SUM(H7:H29)</f>
        <v>136691</v>
      </c>
      <c r="I30" s="8">
        <f>SUM(I7:I29)</f>
        <v>146403</v>
      </c>
      <c r="J30" s="8">
        <v>153640</v>
      </c>
      <c r="K30" s="8">
        <f aca="true" t="shared" si="1" ref="K30:Q30">SUM(K7:K29)</f>
        <v>171119</v>
      </c>
      <c r="L30" s="8">
        <f t="shared" si="1"/>
        <v>91370</v>
      </c>
      <c r="M30" s="8">
        <f t="shared" si="1"/>
        <v>178283</v>
      </c>
      <c r="N30" s="8">
        <f t="shared" si="1"/>
        <v>181414.7320311</v>
      </c>
      <c r="O30" s="8">
        <f t="shared" si="1"/>
        <v>197982</v>
      </c>
      <c r="P30" s="8">
        <f t="shared" si="1"/>
        <v>197396.74773499998</v>
      </c>
      <c r="Q30" s="8">
        <f t="shared" si="1"/>
        <v>197791.74773499998</v>
      </c>
      <c r="R30" s="50">
        <f>(Q30-N30)/N30</f>
        <v>0.09027390179697463</v>
      </c>
    </row>
    <row r="32" spans="14:16" ht="12.75">
      <c r="N32" s="21" t="s">
        <v>357</v>
      </c>
      <c r="O32" s="21"/>
      <c r="P32" s="53">
        <f>O30-P30</f>
        <v>585.2522650000174</v>
      </c>
    </row>
    <row r="33" spans="14:16" ht="12.75">
      <c r="N33" s="21" t="s">
        <v>545</v>
      </c>
      <c r="O33" s="21"/>
      <c r="P33" s="53">
        <f>N30-P30</f>
        <v>-15982.01570389999</v>
      </c>
    </row>
    <row r="34" spans="14:16" ht="12.75">
      <c r="N34" s="21" t="s">
        <v>307</v>
      </c>
      <c r="O34" s="21"/>
      <c r="P34" s="53">
        <f>P30-Q30</f>
        <v>-395</v>
      </c>
    </row>
    <row r="35" ht="12.75">
      <c r="A35" t="s">
        <v>711</v>
      </c>
    </row>
    <row r="36" ht="12.75">
      <c r="A36" t="s">
        <v>576</v>
      </c>
    </row>
    <row r="38" ht="12.75">
      <c r="A38" t="s">
        <v>769</v>
      </c>
    </row>
    <row r="40" spans="1:11" ht="12.75">
      <c r="A40" t="s">
        <v>683</v>
      </c>
      <c r="I40" s="41">
        <v>68415</v>
      </c>
      <c r="J40" s="41">
        <v>62360</v>
      </c>
      <c r="K40" s="41">
        <v>84113</v>
      </c>
    </row>
    <row r="76" spans="3:17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7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3:17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3:18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18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ht="12.75">
      <c r="R82" s="2"/>
    </row>
    <row r="83" ht="12.75">
      <c r="R83" s="2"/>
    </row>
    <row r="84" ht="12.75">
      <c r="R84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T87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4" width="8.57421875" style="0" hidden="1" customWidth="1"/>
    <col min="5" max="8" width="8.7109375" style="0" hidden="1" customWidth="1"/>
    <col min="9" max="11" width="8.7109375" style="0" customWidth="1"/>
    <col min="12" max="12" width="8.7109375" style="0" bestFit="1" customWidth="1"/>
    <col min="13" max="13" width="9.7109375" style="0" bestFit="1" customWidth="1"/>
    <col min="14" max="14" width="9.8515625" style="0" customWidth="1"/>
    <col min="15" max="15" width="11.7109375" style="0" customWidth="1"/>
    <col min="16" max="16" width="10.7109375" style="0" bestFit="1" customWidth="1"/>
    <col min="17" max="17" width="11.71093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327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 t="s">
        <v>15</v>
      </c>
      <c r="E4" s="1" t="s">
        <v>15</v>
      </c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317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9" ht="12.75">
      <c r="A7" s="21" t="s">
        <v>491</v>
      </c>
      <c r="B7" s="4">
        <v>51.11</v>
      </c>
      <c r="C7" s="2">
        <v>87278</v>
      </c>
      <c r="D7" s="2">
        <v>91484</v>
      </c>
      <c r="E7" s="2">
        <v>97979</v>
      </c>
      <c r="F7" s="2">
        <v>117738</v>
      </c>
      <c r="G7" s="2">
        <v>117991</v>
      </c>
      <c r="H7" s="2">
        <v>128060</v>
      </c>
      <c r="I7" s="2">
        <v>135881</v>
      </c>
      <c r="J7" s="2">
        <v>151592</v>
      </c>
      <c r="K7" s="2">
        <v>167618</v>
      </c>
      <c r="L7" s="2">
        <v>87447</v>
      </c>
      <c r="M7" s="2">
        <f>+L7/$L$3*12</f>
        <v>174894</v>
      </c>
      <c r="N7" s="2">
        <v>181000</v>
      </c>
      <c r="O7" s="2">
        <v>195926</v>
      </c>
      <c r="P7" s="2">
        <v>195925.68</v>
      </c>
      <c r="Q7" s="2">
        <v>195925.68</v>
      </c>
      <c r="R7" s="64">
        <f>(Q7-N7)/N7</f>
        <v>0.08246232044198891</v>
      </c>
      <c r="S7" t="s">
        <v>256</v>
      </c>
    </row>
    <row r="8" spans="1:18" ht="12.75">
      <c r="A8" t="s">
        <v>482</v>
      </c>
      <c r="B8" s="4">
        <v>51.1105</v>
      </c>
      <c r="C8" s="2"/>
      <c r="D8" s="2"/>
      <c r="E8" s="2"/>
      <c r="F8" s="2"/>
      <c r="G8" s="2"/>
      <c r="H8" s="2"/>
      <c r="I8" s="2"/>
      <c r="J8" s="2">
        <v>766</v>
      </c>
      <c r="K8" s="2"/>
      <c r="L8" s="2"/>
      <c r="M8" s="2">
        <f>+L8/$L$3*12</f>
        <v>0</v>
      </c>
      <c r="N8" s="2"/>
      <c r="O8" s="2"/>
      <c r="P8" s="2"/>
      <c r="Q8" s="2"/>
      <c r="R8" s="64" t="e">
        <f>(Q8-N8)/N8</f>
        <v>#DIV/0!</v>
      </c>
    </row>
    <row r="9" spans="1:19" ht="12.75">
      <c r="A9" t="s">
        <v>360</v>
      </c>
      <c r="B9" s="4">
        <v>51.21</v>
      </c>
      <c r="C9" s="2">
        <v>6713</v>
      </c>
      <c r="D9" s="2">
        <v>7739</v>
      </c>
      <c r="E9" s="2">
        <v>9537</v>
      </c>
      <c r="F9" s="2">
        <v>8488</v>
      </c>
      <c r="G9" s="2">
        <v>8919</v>
      </c>
      <c r="H9" s="2">
        <v>9447</v>
      </c>
      <c r="I9" s="2">
        <v>8983</v>
      </c>
      <c r="J9" s="2">
        <v>11605</v>
      </c>
      <c r="K9" s="2">
        <v>16019</v>
      </c>
      <c r="L9" s="2">
        <v>9168</v>
      </c>
      <c r="M9" s="2">
        <f>+L9/$L$3*12</f>
        <v>18336</v>
      </c>
      <c r="N9" s="29">
        <v>17662.8</v>
      </c>
      <c r="O9" s="29">
        <v>19200</v>
      </c>
      <c r="P9" s="29">
        <f>4800*4</f>
        <v>19200</v>
      </c>
      <c r="Q9" s="29">
        <f>4800*4</f>
        <v>19200</v>
      </c>
      <c r="R9" s="64">
        <f>(Q9-N9)/N9</f>
        <v>0.0870303689109315</v>
      </c>
      <c r="S9" t="s">
        <v>605</v>
      </c>
    </row>
    <row r="10" spans="1:18" ht="12.75">
      <c r="A10" t="s">
        <v>30</v>
      </c>
      <c r="B10" s="4">
        <v>51.22</v>
      </c>
      <c r="C10" s="2">
        <v>6429</v>
      </c>
      <c r="D10" s="2">
        <v>6722</v>
      </c>
      <c r="E10" s="2">
        <v>7350</v>
      </c>
      <c r="F10" s="2">
        <v>8895</v>
      </c>
      <c r="G10" s="2">
        <v>8772</v>
      </c>
      <c r="H10" s="2">
        <v>9483</v>
      </c>
      <c r="I10" s="2">
        <v>9980</v>
      </c>
      <c r="J10" s="2">
        <v>11236</v>
      </c>
      <c r="K10" s="2">
        <v>12367</v>
      </c>
      <c r="L10" s="2">
        <v>6510</v>
      </c>
      <c r="M10" s="2">
        <f>+L10/$L$3*12</f>
        <v>13020</v>
      </c>
      <c r="N10" s="2">
        <v>13538.6934831</v>
      </c>
      <c r="O10" s="2">
        <v>14988</v>
      </c>
      <c r="P10" s="2">
        <f>(P7+P8)*0.0765</f>
        <v>14988.31452</v>
      </c>
      <c r="Q10" s="2">
        <f>(Q7+Q8)*0.0765</f>
        <v>14988.31452</v>
      </c>
      <c r="R10" s="64">
        <f>(Q10-N10)/N10</f>
        <v>0.10707244674011746</v>
      </c>
    </row>
    <row r="11" spans="1:18" ht="12.75">
      <c r="A11" t="s">
        <v>44</v>
      </c>
      <c r="B11" s="4">
        <v>51.24</v>
      </c>
      <c r="C11" s="2">
        <v>2124</v>
      </c>
      <c r="D11" s="2">
        <v>2202</v>
      </c>
      <c r="E11" s="2">
        <v>2351</v>
      </c>
      <c r="F11" s="2">
        <v>2600</v>
      </c>
      <c r="G11" s="2">
        <v>2683</v>
      </c>
      <c r="H11" s="2">
        <v>2728</v>
      </c>
      <c r="I11" s="2">
        <v>3166</v>
      </c>
      <c r="J11" s="2">
        <v>3476</v>
      </c>
      <c r="K11" s="2">
        <v>3983</v>
      </c>
      <c r="L11" s="2">
        <v>1754</v>
      </c>
      <c r="M11" s="2">
        <f>+L11/$L$3*12</f>
        <v>3508</v>
      </c>
      <c r="N11" s="2">
        <v>4200</v>
      </c>
      <c r="O11" s="2">
        <v>5300</v>
      </c>
      <c r="P11" s="2">
        <v>5300</v>
      </c>
      <c r="Q11" s="2">
        <v>5300</v>
      </c>
      <c r="R11" s="64">
        <f>(Q11-N11)/N11</f>
        <v>0.2619047619047619</v>
      </c>
    </row>
    <row r="12" spans="2:18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  <c r="O12" s="2"/>
      <c r="P12" s="13"/>
      <c r="Q12" s="13"/>
      <c r="R12" s="64"/>
    </row>
    <row r="13" spans="1:20" ht="12.75">
      <c r="A13" t="s">
        <v>97</v>
      </c>
      <c r="B13" s="4">
        <v>52.121</v>
      </c>
      <c r="C13" s="2"/>
      <c r="D13" s="2"/>
      <c r="E13" s="2"/>
      <c r="F13" s="2"/>
      <c r="G13" s="2"/>
      <c r="H13" s="2"/>
      <c r="I13" s="2"/>
      <c r="J13" s="2">
        <v>81</v>
      </c>
      <c r="K13" s="2"/>
      <c r="L13" s="2"/>
      <c r="M13" s="2">
        <f>+L13/$L$3*12</f>
        <v>0</v>
      </c>
      <c r="N13" s="13"/>
      <c r="O13" s="2"/>
      <c r="P13" s="13"/>
      <c r="Q13" s="13"/>
      <c r="R13" s="64" t="e">
        <f aca="true" t="shared" si="0" ref="R13:R21">(Q13-N13)/N13</f>
        <v>#DIV/0!</v>
      </c>
      <c r="T13" s="2"/>
    </row>
    <row r="14" spans="1:18" ht="12.75" hidden="1">
      <c r="A14" t="s">
        <v>501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"/>
      <c r="O14" s="2"/>
      <c r="P14" s="20"/>
      <c r="Q14" s="20"/>
      <c r="R14" s="64" t="e">
        <f t="shared" si="0"/>
        <v>#DIV/0!</v>
      </c>
    </row>
    <row r="15" spans="1:18" ht="12.75">
      <c r="A15" t="s">
        <v>625</v>
      </c>
      <c r="B15" s="4">
        <v>52.1316</v>
      </c>
      <c r="C15" s="2">
        <v>930</v>
      </c>
      <c r="D15" s="2">
        <v>553</v>
      </c>
      <c r="E15" s="2">
        <v>595</v>
      </c>
      <c r="F15" s="2">
        <v>650</v>
      </c>
      <c r="G15" s="2">
        <v>837</v>
      </c>
      <c r="H15" s="2">
        <v>686</v>
      </c>
      <c r="I15" s="2">
        <v>853</v>
      </c>
      <c r="J15" s="2">
        <v>219</v>
      </c>
      <c r="K15" s="2">
        <v>250</v>
      </c>
      <c r="L15" s="2">
        <v>115</v>
      </c>
      <c r="M15" s="2">
        <f>+L15/$L$3*12</f>
        <v>230</v>
      </c>
      <c r="N15" s="2">
        <v>300</v>
      </c>
      <c r="O15" s="2">
        <v>330</v>
      </c>
      <c r="P15" s="2">
        <v>250</v>
      </c>
      <c r="Q15" s="2">
        <v>250</v>
      </c>
      <c r="R15" s="64">
        <f t="shared" si="0"/>
        <v>-0.16666666666666666</v>
      </c>
    </row>
    <row r="16" spans="1:18" ht="12.75">
      <c r="A16" t="s">
        <v>32</v>
      </c>
      <c r="B16" s="4">
        <v>52.32</v>
      </c>
      <c r="C16" s="2">
        <v>1850</v>
      </c>
      <c r="D16" s="2">
        <v>2105</v>
      </c>
      <c r="E16" s="2">
        <v>2063</v>
      </c>
      <c r="F16" s="2">
        <v>2428</v>
      </c>
      <c r="G16" s="2">
        <v>1844</v>
      </c>
      <c r="H16" s="2">
        <v>1910</v>
      </c>
      <c r="I16" s="2">
        <v>1740</v>
      </c>
      <c r="J16" s="2">
        <v>2090</v>
      </c>
      <c r="K16" s="2">
        <v>1658</v>
      </c>
      <c r="L16" s="2">
        <v>879</v>
      </c>
      <c r="M16" s="2">
        <f>+L16/$L$3*12</f>
        <v>1758</v>
      </c>
      <c r="N16" s="20">
        <v>1500</v>
      </c>
      <c r="O16" s="2">
        <v>2000</v>
      </c>
      <c r="P16" s="20">
        <v>1700</v>
      </c>
      <c r="Q16" s="20">
        <v>1700</v>
      </c>
      <c r="R16" s="64">
        <f t="shared" si="0"/>
        <v>0.13333333333333333</v>
      </c>
    </row>
    <row r="17" spans="1:18" ht="12.75">
      <c r="A17" t="s">
        <v>33</v>
      </c>
      <c r="B17" s="4">
        <v>52.321</v>
      </c>
      <c r="C17" s="2">
        <v>943</v>
      </c>
      <c r="D17" s="2">
        <v>691</v>
      </c>
      <c r="E17" s="2">
        <v>699</v>
      </c>
      <c r="F17" s="2">
        <v>728</v>
      </c>
      <c r="G17" s="2">
        <v>1173</v>
      </c>
      <c r="H17" s="2">
        <v>655</v>
      </c>
      <c r="I17" s="2">
        <v>718</v>
      </c>
      <c r="J17" s="2">
        <v>584</v>
      </c>
      <c r="K17" s="2">
        <v>757</v>
      </c>
      <c r="L17" s="2">
        <v>637</v>
      </c>
      <c r="M17" s="2">
        <f>+L17/$L$3*12</f>
        <v>1274</v>
      </c>
      <c r="N17" s="2">
        <v>750</v>
      </c>
      <c r="O17" s="2">
        <v>1000</v>
      </c>
      <c r="P17" s="2">
        <v>1000</v>
      </c>
      <c r="Q17" s="2">
        <v>1000</v>
      </c>
      <c r="R17" s="64">
        <f t="shared" si="0"/>
        <v>0.3333333333333333</v>
      </c>
    </row>
    <row r="18" spans="1:18" ht="12.75" hidden="1">
      <c r="A18" t="s">
        <v>54</v>
      </c>
      <c r="B18" s="4">
        <v>52.33</v>
      </c>
      <c r="C18" s="2"/>
      <c r="D18" s="2"/>
      <c r="E18" s="2"/>
      <c r="F18" s="2"/>
      <c r="G18" s="2">
        <v>20</v>
      </c>
      <c r="H18" s="2"/>
      <c r="I18" s="2"/>
      <c r="J18" s="2"/>
      <c r="K18" s="2"/>
      <c r="M18" s="2"/>
      <c r="N18" s="2"/>
      <c r="O18" s="2"/>
      <c r="P18" s="2"/>
      <c r="Q18" s="2"/>
      <c r="R18" s="64" t="e">
        <f t="shared" si="0"/>
        <v>#DIV/0!</v>
      </c>
    </row>
    <row r="19" spans="1:18" ht="12.75">
      <c r="A19" t="s">
        <v>268</v>
      </c>
      <c r="B19" s="4">
        <v>52.34</v>
      </c>
      <c r="C19" s="2"/>
      <c r="D19" s="2"/>
      <c r="E19" s="2"/>
      <c r="F19" s="2">
        <v>156</v>
      </c>
      <c r="G19" s="2"/>
      <c r="H19" s="2">
        <v>1010</v>
      </c>
      <c r="I19" s="2">
        <v>269</v>
      </c>
      <c r="J19" s="2">
        <v>306</v>
      </c>
      <c r="K19" s="2">
        <v>473</v>
      </c>
      <c r="L19" s="2">
        <v>223</v>
      </c>
      <c r="M19" s="2">
        <f>+L19/$L$3*12</f>
        <v>446</v>
      </c>
      <c r="N19" s="2">
        <v>500</v>
      </c>
      <c r="O19" s="2">
        <v>800</v>
      </c>
      <c r="P19" s="2">
        <v>500</v>
      </c>
      <c r="Q19" s="2">
        <v>500</v>
      </c>
      <c r="R19" s="64">
        <f t="shared" si="0"/>
        <v>0</v>
      </c>
    </row>
    <row r="20" spans="1:18" ht="12.75">
      <c r="A20" t="s">
        <v>45</v>
      </c>
      <c r="B20" s="4">
        <v>52.35</v>
      </c>
      <c r="C20" s="2">
        <v>1147</v>
      </c>
      <c r="D20" s="2">
        <v>1230</v>
      </c>
      <c r="E20" s="2">
        <v>1380</v>
      </c>
      <c r="F20" s="2">
        <v>1340</v>
      </c>
      <c r="G20" s="2">
        <v>1256</v>
      </c>
      <c r="H20" s="2">
        <v>695</v>
      </c>
      <c r="I20" s="2">
        <f>1317+43</f>
        <v>1360</v>
      </c>
      <c r="J20" s="2">
        <v>1061</v>
      </c>
      <c r="K20" s="2">
        <v>1602</v>
      </c>
      <c r="L20" s="2"/>
      <c r="M20" s="2">
        <v>1300</v>
      </c>
      <c r="N20" s="2">
        <v>1300</v>
      </c>
      <c r="O20" s="2">
        <v>1500</v>
      </c>
      <c r="P20" s="2">
        <v>1300</v>
      </c>
      <c r="Q20" s="2">
        <v>1300</v>
      </c>
      <c r="R20" s="64">
        <f t="shared" si="0"/>
        <v>0</v>
      </c>
    </row>
    <row r="21" spans="1:18" ht="12.75">
      <c r="A21" t="s">
        <v>35</v>
      </c>
      <c r="B21" s="4">
        <v>52.3602</v>
      </c>
      <c r="C21" s="2">
        <v>585</v>
      </c>
      <c r="D21" s="2">
        <v>615</v>
      </c>
      <c r="E21" s="2">
        <v>200</v>
      </c>
      <c r="F21" s="2">
        <v>200</v>
      </c>
      <c r="G21" s="2">
        <v>475</v>
      </c>
      <c r="H21" s="2">
        <v>400</v>
      </c>
      <c r="I21" s="2">
        <v>250</v>
      </c>
      <c r="J21" s="2">
        <v>250</v>
      </c>
      <c r="K21" s="2">
        <v>500</v>
      </c>
      <c r="L21" s="2">
        <v>150</v>
      </c>
      <c r="M21" s="2">
        <f>+L21/$L$3*12</f>
        <v>300</v>
      </c>
      <c r="N21" s="2">
        <v>300</v>
      </c>
      <c r="O21" s="2">
        <v>500</v>
      </c>
      <c r="P21" s="2">
        <v>300</v>
      </c>
      <c r="Q21" s="2">
        <v>300</v>
      </c>
      <c r="R21" s="64">
        <f t="shared" si="0"/>
        <v>0</v>
      </c>
    </row>
    <row r="22" spans="1:18" ht="12.75" hidden="1">
      <c r="A22" t="s">
        <v>502</v>
      </c>
      <c r="B22" s="4">
        <v>52.363</v>
      </c>
      <c r="C22" s="2"/>
      <c r="D22" s="2"/>
      <c r="E22" s="2">
        <v>194</v>
      </c>
      <c r="F22" s="2"/>
      <c r="G22" s="2"/>
      <c r="H22" s="2"/>
      <c r="I22" s="2"/>
      <c r="J22" s="2"/>
      <c r="K22" s="2"/>
      <c r="M22" s="2"/>
      <c r="N22" s="2"/>
      <c r="O22" s="2"/>
      <c r="P22" s="2"/>
      <c r="Q22" s="2"/>
      <c r="R22" s="64"/>
    </row>
    <row r="23" spans="1:18" ht="12.75">
      <c r="A23" t="s">
        <v>46</v>
      </c>
      <c r="B23" s="4">
        <v>52.37</v>
      </c>
      <c r="C23" s="2"/>
      <c r="D23" s="2"/>
      <c r="E23" s="2">
        <v>50</v>
      </c>
      <c r="F23" s="2">
        <v>225</v>
      </c>
      <c r="G23" s="2">
        <v>495</v>
      </c>
      <c r="H23" s="2">
        <v>280</v>
      </c>
      <c r="I23" s="2"/>
      <c r="J23" s="2"/>
      <c r="K23" s="2">
        <v>885</v>
      </c>
      <c r="L23" s="2">
        <v>175</v>
      </c>
      <c r="M23" s="2">
        <v>500</v>
      </c>
      <c r="N23" s="2">
        <v>500</v>
      </c>
      <c r="O23" s="2">
        <v>850</v>
      </c>
      <c r="P23" s="2">
        <v>500</v>
      </c>
      <c r="Q23" s="2">
        <v>500</v>
      </c>
      <c r="R23" s="64"/>
    </row>
    <row r="24" spans="2:18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64"/>
    </row>
    <row r="25" spans="1:19" ht="12.75">
      <c r="A25" t="s">
        <v>40</v>
      </c>
      <c r="B25" s="4">
        <v>53.171</v>
      </c>
      <c r="C25" s="2">
        <v>2174</v>
      </c>
      <c r="D25" s="2">
        <v>1318</v>
      </c>
      <c r="E25" s="2">
        <v>1660</v>
      </c>
      <c r="F25" s="2">
        <v>1064</v>
      </c>
      <c r="G25" s="2">
        <v>1744</v>
      </c>
      <c r="H25" s="2">
        <v>1424</v>
      </c>
      <c r="I25" s="2">
        <v>1981</v>
      </c>
      <c r="J25" s="2">
        <v>1873</v>
      </c>
      <c r="K25" s="2">
        <f>2511+148</f>
        <v>2659</v>
      </c>
      <c r="L25" s="2">
        <v>530</v>
      </c>
      <c r="M25" s="2">
        <f>+L25/$L$3*12</f>
        <v>1060</v>
      </c>
      <c r="N25" s="2">
        <v>1900</v>
      </c>
      <c r="O25" s="2">
        <v>2090</v>
      </c>
      <c r="P25" s="2">
        <v>1900</v>
      </c>
      <c r="Q25" s="2">
        <v>1900</v>
      </c>
      <c r="R25" s="64">
        <f>(Q25-N25)/N25</f>
        <v>0</v>
      </c>
      <c r="S25" s="10"/>
    </row>
    <row r="26" spans="1:19" ht="12.75">
      <c r="A26" t="s">
        <v>451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1779</v>
      </c>
      <c r="P26" s="2"/>
      <c r="Q26" s="2"/>
      <c r="R26" s="64"/>
      <c r="S26" s="10"/>
    </row>
    <row r="27" spans="1:18" ht="12.75" hidden="1">
      <c r="A27" t="s">
        <v>55</v>
      </c>
      <c r="B27" s="4">
        <v>54.25</v>
      </c>
      <c r="C27" s="2"/>
      <c r="D27" s="2"/>
      <c r="E27" s="2">
        <v>222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4"/>
    </row>
    <row r="28" spans="1:18" ht="12.75" hidden="1">
      <c r="A28" t="s">
        <v>264</v>
      </c>
      <c r="B28" s="4">
        <v>54.25</v>
      </c>
      <c r="C28" s="2"/>
      <c r="D28" s="2"/>
      <c r="E28" s="2"/>
      <c r="F28" s="2">
        <v>697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4"/>
    </row>
    <row r="29" spans="1:18" ht="12.75">
      <c r="A29" t="s">
        <v>394</v>
      </c>
      <c r="B29" s="4">
        <v>54.24</v>
      </c>
      <c r="C29" s="2"/>
      <c r="D29" s="2">
        <v>485</v>
      </c>
      <c r="E29" s="2"/>
      <c r="F29" s="2"/>
      <c r="G29" s="2">
        <v>723</v>
      </c>
      <c r="H29" s="2">
        <v>517</v>
      </c>
      <c r="I29" s="2">
        <v>549</v>
      </c>
      <c r="J29" s="2">
        <v>6495</v>
      </c>
      <c r="K29" s="2"/>
      <c r="L29" s="2">
        <v>292</v>
      </c>
      <c r="M29" s="2">
        <v>300</v>
      </c>
      <c r="N29" s="2"/>
      <c r="O29" s="2"/>
      <c r="P29" s="2"/>
      <c r="Q29" s="2"/>
      <c r="R29" s="64"/>
    </row>
    <row r="30" spans="1:18" ht="12.75" hidden="1">
      <c r="A30" t="s">
        <v>213</v>
      </c>
      <c r="B30" s="4" t="s">
        <v>24</v>
      </c>
      <c r="C30" s="2">
        <v>368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64"/>
    </row>
    <row r="31" spans="2:18" ht="12.7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9"/>
    </row>
    <row r="32" spans="1:18" ht="12.75">
      <c r="A32" s="6" t="s">
        <v>23</v>
      </c>
      <c r="B32" s="6"/>
      <c r="C32" s="7">
        <f>SUM(C7:C30)</f>
        <v>110541</v>
      </c>
      <c r="D32" s="8">
        <f>SUM(D7:D30)</f>
        <v>115144</v>
      </c>
      <c r="E32" s="8">
        <f>SUM(E7:E31)</f>
        <v>124280</v>
      </c>
      <c r="F32" s="8">
        <f>SUM(F7:F31)</f>
        <v>145209</v>
      </c>
      <c r="G32" s="8">
        <f>SUM(G7:G31)</f>
        <v>146932</v>
      </c>
      <c r="H32" s="8">
        <f>SUM(H7:H31)</f>
        <v>157295</v>
      </c>
      <c r="I32" s="8">
        <f>SUM(I7:I31)</f>
        <v>165730</v>
      </c>
      <c r="J32" s="8">
        <v>192218</v>
      </c>
      <c r="K32" s="8">
        <f aca="true" t="shared" si="1" ref="K32:Q32">SUM(K7:K31)</f>
        <v>208771</v>
      </c>
      <c r="L32" s="8">
        <f t="shared" si="1"/>
        <v>107880</v>
      </c>
      <c r="M32" s="8">
        <f>SUM(M7:M31)</f>
        <v>216926</v>
      </c>
      <c r="N32" s="8">
        <f t="shared" si="1"/>
        <v>223451.4934831</v>
      </c>
      <c r="O32" s="8">
        <f t="shared" si="1"/>
        <v>246263</v>
      </c>
      <c r="P32" s="8">
        <f t="shared" si="1"/>
        <v>242863.99452</v>
      </c>
      <c r="Q32" s="8">
        <f t="shared" si="1"/>
        <v>242863.99452</v>
      </c>
      <c r="R32" s="49">
        <f>(Q32-N32)/N32</f>
        <v>0.08687568265623702</v>
      </c>
    </row>
    <row r="34" spans="14:16" ht="12.75">
      <c r="N34" s="21" t="s">
        <v>357</v>
      </c>
      <c r="O34" s="21"/>
      <c r="P34" s="53">
        <f>O32-P32</f>
        <v>3399.0054799999925</v>
      </c>
    </row>
    <row r="35" spans="1:16" ht="12.75">
      <c r="A35" t="s">
        <v>710</v>
      </c>
      <c r="N35" s="21" t="s">
        <v>545</v>
      </c>
      <c r="O35" s="21"/>
      <c r="P35" s="53">
        <f>N32-P32</f>
        <v>-19412.50103690001</v>
      </c>
    </row>
    <row r="36" spans="14:16" ht="12.75">
      <c r="N36" s="21" t="s">
        <v>307</v>
      </c>
      <c r="O36" s="21"/>
      <c r="P36" s="53">
        <f>P32-Q32</f>
        <v>0</v>
      </c>
    </row>
    <row r="37" spans="1:11" ht="12.75">
      <c r="A37" t="s">
        <v>391</v>
      </c>
      <c r="I37" s="41">
        <f>131729+13333</f>
        <v>145062</v>
      </c>
      <c r="J37" s="41">
        <v>195037.34</v>
      </c>
      <c r="K37" s="41">
        <v>200573</v>
      </c>
    </row>
    <row r="38" ht="12.75">
      <c r="B38" t="s">
        <v>27</v>
      </c>
    </row>
    <row r="41" ht="12.75">
      <c r="A41" t="s">
        <v>769</v>
      </c>
    </row>
    <row r="78" ht="12.75">
      <c r="R78" s="2"/>
    </row>
    <row r="79" ht="12.75">
      <c r="R79" s="2"/>
    </row>
    <row r="80" ht="12.75">
      <c r="R80" s="2"/>
    </row>
    <row r="81" ht="12.75">
      <c r="R81" s="2"/>
    </row>
    <row r="82" spans="3:18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7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3:17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7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T78"/>
  <sheetViews>
    <sheetView zoomScale="75" zoomScaleNormal="75" workbookViewId="0" topLeftCell="A2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5" width="6.421875" style="0" hidden="1" customWidth="1"/>
    <col min="6" max="6" width="8.8515625" style="0" hidden="1" customWidth="1"/>
    <col min="7" max="8" width="8.140625" style="0" hidden="1" customWidth="1"/>
    <col min="9" max="11" width="8.140625" style="0" customWidth="1"/>
    <col min="12" max="13" width="8.140625" style="0" bestFit="1" customWidth="1"/>
    <col min="14" max="14" width="8.7109375" style="0" customWidth="1"/>
    <col min="15" max="15" width="9.28125" style="0" bestFit="1" customWidth="1"/>
    <col min="16" max="16" width="10.140625" style="0" customWidth="1"/>
    <col min="17" max="17" width="8.140625" style="0" bestFit="1" customWidth="1"/>
    <col min="18" max="18" width="9.85156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329</v>
      </c>
      <c r="L3" s="54">
        <v>6</v>
      </c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9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3" t="s">
        <v>22</v>
      </c>
    </row>
    <row r="7" spans="1:18" ht="12.75">
      <c r="A7" s="21" t="s">
        <v>518</v>
      </c>
      <c r="B7" s="4">
        <v>51.112</v>
      </c>
      <c r="C7" s="2">
        <v>3900</v>
      </c>
      <c r="D7" s="2">
        <v>975</v>
      </c>
      <c r="E7" s="2"/>
      <c r="F7" s="2">
        <v>51000</v>
      </c>
      <c r="G7" s="2">
        <v>51000</v>
      </c>
      <c r="H7" s="2">
        <v>52962</v>
      </c>
      <c r="I7" s="2">
        <v>51000</v>
      </c>
      <c r="J7" s="2">
        <v>51000</v>
      </c>
      <c r="K7" s="2">
        <v>51000</v>
      </c>
      <c r="L7" s="2">
        <v>25108</v>
      </c>
      <c r="M7" s="2">
        <f>+L7/$L$3*12</f>
        <v>50216</v>
      </c>
      <c r="N7" s="2">
        <v>51000</v>
      </c>
      <c r="O7" s="2">
        <v>51000</v>
      </c>
      <c r="P7" s="2">
        <v>51000</v>
      </c>
      <c r="Q7" s="2">
        <f>P7*0.95</f>
        <v>48450</v>
      </c>
      <c r="R7" s="64">
        <f>(Q7-N7)/N7</f>
        <v>-0.05</v>
      </c>
    </row>
    <row r="8" spans="1:19" ht="12.75">
      <c r="A8" t="s">
        <v>360</v>
      </c>
      <c r="B8" s="4">
        <v>51.21</v>
      </c>
      <c r="C8" s="2"/>
      <c r="D8" s="2"/>
      <c r="E8" s="2"/>
      <c r="F8" s="2">
        <v>2840</v>
      </c>
      <c r="G8" s="2">
        <v>3023</v>
      </c>
      <c r="H8" s="2">
        <v>3161</v>
      </c>
      <c r="I8" s="2">
        <v>3184</v>
      </c>
      <c r="J8" s="2">
        <v>3398</v>
      </c>
      <c r="K8" s="2">
        <v>4011</v>
      </c>
      <c r="L8" s="2">
        <v>2112</v>
      </c>
      <c r="M8" s="2">
        <f>+L8/$L$3*12</f>
        <v>4224</v>
      </c>
      <c r="N8" s="29">
        <v>4415.7</v>
      </c>
      <c r="O8" s="29">
        <v>4800</v>
      </c>
      <c r="P8" s="29">
        <v>4800</v>
      </c>
      <c r="Q8" s="2">
        <f>P8*0.95</f>
        <v>4560</v>
      </c>
      <c r="R8" s="64">
        <f>(Q8-N8)/N8</f>
        <v>0.03267885046538492</v>
      </c>
      <c r="S8" t="s">
        <v>605</v>
      </c>
    </row>
    <row r="9" spans="1:18" ht="12.75">
      <c r="A9" t="s">
        <v>30</v>
      </c>
      <c r="B9" s="4">
        <v>51.22</v>
      </c>
      <c r="C9" s="2"/>
      <c r="D9" s="2"/>
      <c r="E9" s="2"/>
      <c r="F9" s="2">
        <v>3902</v>
      </c>
      <c r="G9" s="2">
        <v>3902</v>
      </c>
      <c r="H9" s="2">
        <v>4052</v>
      </c>
      <c r="I9" s="2">
        <v>3902</v>
      </c>
      <c r="J9" s="2">
        <v>3902</v>
      </c>
      <c r="K9" s="2">
        <v>3902</v>
      </c>
      <c r="L9" s="2">
        <v>1921</v>
      </c>
      <c r="M9" s="2">
        <f>+L9/$L$3*12</f>
        <v>3842</v>
      </c>
      <c r="N9" s="2">
        <v>3901.5</v>
      </c>
      <c r="O9" s="2">
        <v>3902</v>
      </c>
      <c r="P9" s="2">
        <f>P7*0.0765</f>
        <v>3901.5</v>
      </c>
      <c r="Q9" s="2">
        <f>P9*0.95</f>
        <v>3706.4249999999997</v>
      </c>
      <c r="R9" s="64">
        <f>(Q9-N9)/N9</f>
        <v>-0.05000000000000007</v>
      </c>
    </row>
    <row r="10" spans="1:19" ht="12.75">
      <c r="A10" t="s">
        <v>532</v>
      </c>
      <c r="B10" s="4">
        <v>52.13</v>
      </c>
      <c r="C10" s="5"/>
      <c r="D10" s="5"/>
      <c r="E10" s="5"/>
      <c r="F10" s="2">
        <v>1830</v>
      </c>
      <c r="G10" s="2">
        <v>4271</v>
      </c>
      <c r="H10" s="2">
        <v>2518</v>
      </c>
      <c r="I10" s="2">
        <v>1536</v>
      </c>
      <c r="J10" s="2">
        <v>4493</v>
      </c>
      <c r="K10" s="2"/>
      <c r="L10" s="2"/>
      <c r="M10" s="2"/>
      <c r="N10" s="2">
        <v>0</v>
      </c>
      <c r="O10" s="2"/>
      <c r="P10" s="2"/>
      <c r="Q10" s="2"/>
      <c r="R10" s="64" t="e">
        <f>(Q10-N10)/N10</f>
        <v>#DIV/0!</v>
      </c>
      <c r="S10" s="31" t="s">
        <v>256</v>
      </c>
    </row>
    <row r="11" spans="1:19" ht="12.75">
      <c r="A11" t="s">
        <v>33</v>
      </c>
      <c r="B11" s="4">
        <v>52.321</v>
      </c>
      <c r="C11" s="5"/>
      <c r="D11" s="5"/>
      <c r="E11" s="5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64"/>
      <c r="S11" s="2"/>
    </row>
    <row r="12" spans="1:18" ht="12.75">
      <c r="A12" t="s">
        <v>154</v>
      </c>
      <c r="B12" s="4">
        <v>53.171</v>
      </c>
      <c r="C12" s="5"/>
      <c r="D12" s="5"/>
      <c r="E12" s="5"/>
      <c r="F12" s="5"/>
      <c r="G12" s="2">
        <v>34</v>
      </c>
      <c r="H12" s="2"/>
      <c r="I12" s="2">
        <v>170</v>
      </c>
      <c r="J12" s="2"/>
      <c r="K12" s="2"/>
      <c r="L12" s="2"/>
      <c r="M12" s="2"/>
      <c r="N12" s="2"/>
      <c r="O12" s="2"/>
      <c r="P12" s="2"/>
      <c r="Q12" s="2"/>
      <c r="R12" s="49"/>
    </row>
    <row r="13" spans="2:18" ht="12.7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9"/>
    </row>
    <row r="14" spans="1:18" ht="12.75">
      <c r="A14" s="6" t="s">
        <v>23</v>
      </c>
      <c r="B14" s="6"/>
      <c r="C14" s="7">
        <f>SUM(C7:C9)</f>
        <v>3900</v>
      </c>
      <c r="D14" s="8">
        <f>SUM(D7:D9)</f>
        <v>975</v>
      </c>
      <c r="E14" s="8"/>
      <c r="F14" s="8">
        <f>SUM(F7:F13)</f>
        <v>59572</v>
      </c>
      <c r="G14" s="8">
        <f>SUM(G7:G13)</f>
        <v>62230</v>
      </c>
      <c r="H14" s="8">
        <f>SUM(H7:H13)</f>
        <v>62693</v>
      </c>
      <c r="I14" s="8">
        <f>SUM(I7:I13)</f>
        <v>59792</v>
      </c>
      <c r="J14" s="8">
        <v>63215</v>
      </c>
      <c r="K14" s="8">
        <f aca="true" t="shared" si="0" ref="K14:Q14">SUM(K7:K12)</f>
        <v>58913</v>
      </c>
      <c r="L14" s="8">
        <f t="shared" si="0"/>
        <v>29141</v>
      </c>
      <c r="M14" s="8">
        <f t="shared" si="0"/>
        <v>58282</v>
      </c>
      <c r="N14" s="8">
        <f t="shared" si="0"/>
        <v>59317.2</v>
      </c>
      <c r="O14" s="8">
        <f t="shared" si="0"/>
        <v>59702</v>
      </c>
      <c r="P14" s="8">
        <f t="shared" si="0"/>
        <v>59701.5</v>
      </c>
      <c r="Q14" s="8">
        <f t="shared" si="0"/>
        <v>56716.425</v>
      </c>
      <c r="R14" s="50">
        <f>(Q14-N14)/N14</f>
        <v>-0.043845208472416</v>
      </c>
    </row>
    <row r="15" ht="12.75">
      <c r="R15" s="49"/>
    </row>
    <row r="16" spans="14:18" ht="12.75">
      <c r="N16" s="21" t="s">
        <v>357</v>
      </c>
      <c r="O16" s="21"/>
      <c r="P16" s="53">
        <f>O14-P14</f>
        <v>0.5</v>
      </c>
      <c r="R16" s="49"/>
    </row>
    <row r="17" spans="14:20" ht="12.75">
      <c r="N17" s="21" t="s">
        <v>545</v>
      </c>
      <c r="O17" s="21"/>
      <c r="P17" s="53">
        <f>N14-P14</f>
        <v>-384.3000000000029</v>
      </c>
      <c r="R17" s="49"/>
      <c r="T17" t="s">
        <v>489</v>
      </c>
    </row>
    <row r="18" spans="14:18" ht="12.75">
      <c r="N18" s="21" t="s">
        <v>307</v>
      </c>
      <c r="O18" s="21"/>
      <c r="P18" s="53">
        <f>P14-Q14</f>
        <v>2985.074999999997</v>
      </c>
      <c r="R18" s="49"/>
    </row>
    <row r="19" ht="12.75">
      <c r="R19" s="49"/>
    </row>
    <row r="20" spans="1:18" ht="12.75">
      <c r="A20" s="6" t="s">
        <v>560</v>
      </c>
      <c r="R20" s="49"/>
    </row>
    <row r="21" ht="12.75">
      <c r="R21" s="49"/>
    </row>
    <row r="22" spans="1:18" ht="12.75">
      <c r="A22" t="s">
        <v>769</v>
      </c>
      <c r="R22" s="49"/>
    </row>
    <row r="23" spans="1:18" ht="12.75">
      <c r="A23" t="s">
        <v>684</v>
      </c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73" ht="12.75">
      <c r="R73" s="2"/>
    </row>
    <row r="74" ht="12.75">
      <c r="R74" s="2"/>
    </row>
    <row r="75" ht="12.75">
      <c r="R75" s="2"/>
    </row>
    <row r="76" ht="12.75">
      <c r="R76" s="2"/>
    </row>
    <row r="77" ht="12.75">
      <c r="R77" s="2"/>
    </row>
    <row r="78" ht="12.75">
      <c r="R78" s="2"/>
    </row>
  </sheetData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74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8.7109375" style="0" customWidth="1"/>
    <col min="3" max="3" width="10.8515625" style="0" hidden="1" customWidth="1"/>
    <col min="4" max="4" width="7.57421875" style="0" hidden="1" customWidth="1"/>
    <col min="5" max="5" width="8.00390625" style="0" hidden="1" customWidth="1"/>
    <col min="6" max="6" width="7.140625" style="0" hidden="1" customWidth="1"/>
    <col min="7" max="7" width="10.421875" style="0" hidden="1" customWidth="1"/>
    <col min="8" max="8" width="8.00390625" style="0" hidden="1" customWidth="1"/>
    <col min="9" max="11" width="8.00390625" style="0" customWidth="1"/>
    <col min="12" max="12" width="7.7109375" style="0" bestFit="1" customWidth="1"/>
    <col min="13" max="13" width="8.7109375" style="0" customWidth="1"/>
    <col min="14" max="14" width="11.140625" style="0" bestFit="1" customWidth="1"/>
    <col min="15" max="15" width="9.28125" style="0" bestFit="1" customWidth="1"/>
    <col min="16" max="16" width="10.8515625" style="0" bestFit="1" customWidth="1"/>
    <col min="17" max="17" width="8.8515625" style="0" bestFit="1" customWidth="1"/>
    <col min="18" max="18" width="9.85156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331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9" ht="12.75">
      <c r="A7" s="21" t="s">
        <v>491</v>
      </c>
      <c r="B7" s="4">
        <v>51.11</v>
      </c>
      <c r="C7" s="2">
        <v>100</v>
      </c>
      <c r="D7" s="2">
        <v>7450</v>
      </c>
      <c r="E7" s="2">
        <v>200</v>
      </c>
      <c r="F7" s="2">
        <v>7800</v>
      </c>
      <c r="G7" s="2">
        <v>50</v>
      </c>
      <c r="H7" s="2">
        <v>7030</v>
      </c>
      <c r="I7" s="2">
        <v>115</v>
      </c>
      <c r="J7" s="2">
        <v>9600</v>
      </c>
      <c r="K7" s="2">
        <v>680</v>
      </c>
      <c r="L7" s="2">
        <v>2950</v>
      </c>
      <c r="M7" s="2">
        <f aca="true" t="shared" si="0" ref="M7:M18">+L7/$L$3*12</f>
        <v>5900</v>
      </c>
      <c r="N7" s="2">
        <v>9600</v>
      </c>
      <c r="O7" s="2">
        <v>1500</v>
      </c>
      <c r="P7" s="2">
        <v>700</v>
      </c>
      <c r="Q7" s="2">
        <f>P7*0.95</f>
        <v>665</v>
      </c>
      <c r="R7" s="64">
        <f>(Q7-N7)/N7</f>
        <v>-0.9307291666666667</v>
      </c>
      <c r="S7" t="s">
        <v>251</v>
      </c>
    </row>
    <row r="8" spans="1:18" ht="12.75">
      <c r="A8" t="s">
        <v>30</v>
      </c>
      <c r="B8" s="4">
        <v>51.22</v>
      </c>
      <c r="C8" s="2">
        <v>3</v>
      </c>
      <c r="D8" s="2">
        <v>569</v>
      </c>
      <c r="E8" s="2">
        <v>15</v>
      </c>
      <c r="F8" s="2">
        <v>597</v>
      </c>
      <c r="G8" s="2">
        <v>4</v>
      </c>
      <c r="H8" s="2">
        <v>538</v>
      </c>
      <c r="I8" s="2">
        <v>9</v>
      </c>
      <c r="J8" s="2">
        <v>734</v>
      </c>
      <c r="K8" s="2">
        <v>52</v>
      </c>
      <c r="L8" s="2">
        <v>226</v>
      </c>
      <c r="M8" s="2">
        <f>0.0765*M7</f>
        <v>451.34999999999997</v>
      </c>
      <c r="N8" s="2">
        <v>734.4</v>
      </c>
      <c r="O8" s="2">
        <v>115</v>
      </c>
      <c r="P8" s="2">
        <f>0.0765*P7</f>
        <v>53.55</v>
      </c>
      <c r="Q8" s="2">
        <f>0.0765*Q7</f>
        <v>50.8725</v>
      </c>
      <c r="R8" s="64">
        <f>(Q8-N8)/N8</f>
        <v>-0.9307291666666666</v>
      </c>
    </row>
    <row r="9" spans="2:18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aca="true" t="shared" si="1" ref="Q9:Q17">P9*0.95</f>
        <v>0</v>
      </c>
      <c r="R9" s="64"/>
    </row>
    <row r="10" spans="1:19" ht="12.75">
      <c r="A10" s="31" t="s">
        <v>236</v>
      </c>
      <c r="B10" s="32">
        <v>52.1317</v>
      </c>
      <c r="C10" s="13"/>
      <c r="D10" s="13"/>
      <c r="E10" s="13"/>
      <c r="F10" s="20">
        <v>636</v>
      </c>
      <c r="G10" s="20">
        <v>242</v>
      </c>
      <c r="H10" s="20">
        <v>362</v>
      </c>
      <c r="I10" s="20">
        <v>473</v>
      </c>
      <c r="J10" s="20">
        <v>815</v>
      </c>
      <c r="K10" s="20">
        <v>378</v>
      </c>
      <c r="L10" s="20">
        <v>108</v>
      </c>
      <c r="M10" s="2">
        <f t="shared" si="0"/>
        <v>216</v>
      </c>
      <c r="N10" s="20">
        <v>450</v>
      </c>
      <c r="O10" s="20">
        <v>450</v>
      </c>
      <c r="P10" s="20">
        <v>400</v>
      </c>
      <c r="Q10" s="2">
        <f t="shared" si="1"/>
        <v>380</v>
      </c>
      <c r="R10" s="64">
        <f>(Q10-N10)/N10</f>
        <v>-0.15555555555555556</v>
      </c>
      <c r="S10" s="6"/>
    </row>
    <row r="11" spans="1:18" ht="12.75" hidden="1">
      <c r="A11" t="s">
        <v>32</v>
      </c>
      <c r="B11" s="4">
        <v>52.32</v>
      </c>
      <c r="C11" s="2"/>
      <c r="D11" s="2"/>
      <c r="E11" s="2"/>
      <c r="F11" s="2">
        <v>71</v>
      </c>
      <c r="G11" s="2"/>
      <c r="H11" s="2"/>
      <c r="I11" s="2"/>
      <c r="J11" s="2"/>
      <c r="K11" s="2"/>
      <c r="L11" s="2"/>
      <c r="M11" s="2">
        <f t="shared" si="0"/>
        <v>0</v>
      </c>
      <c r="N11" s="2"/>
      <c r="O11" s="2"/>
      <c r="P11" s="2"/>
      <c r="Q11" s="2">
        <f t="shared" si="1"/>
        <v>0</v>
      </c>
      <c r="R11" s="64"/>
    </row>
    <row r="12" spans="1:18" ht="12.75">
      <c r="A12" t="s">
        <v>54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1"/>
        <v>0</v>
      </c>
      <c r="R12" s="64"/>
    </row>
    <row r="13" spans="1:18" ht="12.75">
      <c r="A13" t="s">
        <v>33</v>
      </c>
      <c r="B13" s="4">
        <v>52.321</v>
      </c>
      <c r="C13" s="2">
        <v>1973</v>
      </c>
      <c r="D13" s="2">
        <v>1102</v>
      </c>
      <c r="E13" s="2">
        <v>1133</v>
      </c>
      <c r="F13" s="2">
        <v>1419</v>
      </c>
      <c r="G13" s="2">
        <v>977</v>
      </c>
      <c r="H13" s="2">
        <v>1319</v>
      </c>
      <c r="I13" s="2">
        <v>897</v>
      </c>
      <c r="J13" s="2">
        <v>1497</v>
      </c>
      <c r="K13" s="2">
        <v>1177</v>
      </c>
      <c r="L13" s="2">
        <v>287</v>
      </c>
      <c r="M13" s="2">
        <f t="shared" si="0"/>
        <v>574</v>
      </c>
      <c r="N13" s="2">
        <v>1600</v>
      </c>
      <c r="O13" s="2">
        <v>1600</v>
      </c>
      <c r="P13" s="2">
        <v>1200</v>
      </c>
      <c r="Q13" s="2">
        <f t="shared" si="1"/>
        <v>1140</v>
      </c>
      <c r="R13" s="64">
        <f>(Q13-N13)/N13</f>
        <v>-0.2875</v>
      </c>
    </row>
    <row r="14" spans="1:19" ht="0.75" customHeight="1" hidden="1">
      <c r="A14" t="s">
        <v>54</v>
      </c>
      <c r="B14" s="4">
        <v>52.33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1"/>
        <v>0</v>
      </c>
      <c r="R14" s="64"/>
      <c r="S14" t="s">
        <v>375</v>
      </c>
    </row>
    <row r="15" spans="1:18" ht="12.75" hidden="1">
      <c r="A15" t="s">
        <v>45</v>
      </c>
      <c r="B15" s="4">
        <v>52.35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  <c r="N15" s="2"/>
      <c r="O15" s="2"/>
      <c r="P15" s="2"/>
      <c r="Q15" s="2">
        <f t="shared" si="1"/>
        <v>0</v>
      </c>
      <c r="R15" s="64"/>
    </row>
    <row r="16" spans="1:19" ht="12.75">
      <c r="A16" t="s">
        <v>111</v>
      </c>
      <c r="B16" s="4">
        <v>52.362</v>
      </c>
      <c r="C16" s="2">
        <v>35444</v>
      </c>
      <c r="D16" s="2">
        <v>71653</v>
      </c>
      <c r="E16" s="2">
        <v>27335</v>
      </c>
      <c r="F16" s="2">
        <v>44446</v>
      </c>
      <c r="G16" s="2">
        <v>46700</v>
      </c>
      <c r="H16" s="2">
        <v>42355</v>
      </c>
      <c r="I16" s="2">
        <v>35699</v>
      </c>
      <c r="J16" s="2">
        <v>54270</v>
      </c>
      <c r="K16" s="2">
        <v>39479</v>
      </c>
      <c r="L16" s="2">
        <v>19645</v>
      </c>
      <c r="M16" s="2">
        <f t="shared" si="0"/>
        <v>39290</v>
      </c>
      <c r="N16" s="2">
        <v>40000</v>
      </c>
      <c r="O16" s="2">
        <v>50000</v>
      </c>
      <c r="P16" s="2">
        <v>40000</v>
      </c>
      <c r="Q16" s="2">
        <f t="shared" si="1"/>
        <v>38000</v>
      </c>
      <c r="R16" s="64">
        <f>(Q16-N16)/N16</f>
        <v>-0.05</v>
      </c>
      <c r="S16" t="s">
        <v>374</v>
      </c>
    </row>
    <row r="17" spans="1:18" ht="12.75">
      <c r="A17" t="s">
        <v>40</v>
      </c>
      <c r="B17" s="4">
        <v>53.171</v>
      </c>
      <c r="C17" s="2">
        <v>1666</v>
      </c>
      <c r="D17" s="2">
        <v>990</v>
      </c>
      <c r="E17" s="2">
        <v>786</v>
      </c>
      <c r="F17" s="2">
        <v>1058</v>
      </c>
      <c r="G17" s="2">
        <v>739</v>
      </c>
      <c r="H17" s="2">
        <v>820</v>
      </c>
      <c r="I17" s="2">
        <v>668</v>
      </c>
      <c r="J17" s="2">
        <v>1011</v>
      </c>
      <c r="K17" s="2">
        <v>749</v>
      </c>
      <c r="L17" s="2">
        <v>691</v>
      </c>
      <c r="M17" s="2">
        <f t="shared" si="0"/>
        <v>1382</v>
      </c>
      <c r="N17" s="2">
        <v>1200</v>
      </c>
      <c r="O17" s="2">
        <v>1200</v>
      </c>
      <c r="P17" s="2">
        <v>750</v>
      </c>
      <c r="Q17" s="2">
        <f t="shared" si="1"/>
        <v>712.5</v>
      </c>
      <c r="R17" s="64">
        <f>(Q17-N17)/N17</f>
        <v>-0.40625</v>
      </c>
    </row>
    <row r="18" spans="1:19" ht="12.75">
      <c r="A18" s="31" t="s">
        <v>237</v>
      </c>
      <c r="B18" s="32">
        <v>53.179</v>
      </c>
      <c r="C18" s="30"/>
      <c r="D18" s="30"/>
      <c r="E18" s="30"/>
      <c r="F18" s="20">
        <v>83</v>
      </c>
      <c r="G18" s="20">
        <v>46</v>
      </c>
      <c r="H18" s="20">
        <v>70</v>
      </c>
      <c r="I18" s="20">
        <v>40</v>
      </c>
      <c r="J18" s="20"/>
      <c r="K18" s="20">
        <v>62</v>
      </c>
      <c r="L18" s="20"/>
      <c r="M18" s="20">
        <f t="shared" si="0"/>
        <v>0</v>
      </c>
      <c r="N18" s="20"/>
      <c r="O18" s="20"/>
      <c r="P18" s="20"/>
      <c r="Q18" s="20"/>
      <c r="R18" s="64" t="e">
        <f>(Q18-N18)/N18</f>
        <v>#DIV/0!</v>
      </c>
      <c r="S18" s="6"/>
    </row>
    <row r="19" spans="2:18" ht="12.7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5"/>
      <c r="P19" s="5"/>
      <c r="Q19" s="2"/>
      <c r="R19" s="49"/>
    </row>
    <row r="20" spans="2:18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49"/>
    </row>
    <row r="21" spans="1:20" ht="12.75">
      <c r="A21" s="6" t="s">
        <v>23</v>
      </c>
      <c r="B21" s="6"/>
      <c r="C21" s="7">
        <f>SUM(C7:C17)</f>
        <v>39186</v>
      </c>
      <c r="D21" s="8">
        <f>SUM(D7:D17)</f>
        <v>81764</v>
      </c>
      <c r="E21" s="8">
        <f>SUM(E7:E20)</f>
        <v>29469</v>
      </c>
      <c r="F21" s="8">
        <f>SUM(F7:F20)</f>
        <v>56110</v>
      </c>
      <c r="G21" s="8">
        <f>SUM(G7:G20)</f>
        <v>48758</v>
      </c>
      <c r="H21" s="8">
        <f>SUM(H7:H20)</f>
        <v>52494</v>
      </c>
      <c r="I21" s="8">
        <f>SUM(I7:I20)</f>
        <v>37901</v>
      </c>
      <c r="J21" s="8">
        <v>67927</v>
      </c>
      <c r="K21" s="8">
        <f aca="true" t="shared" si="2" ref="K21:Q21">SUM(K7:K18)</f>
        <v>42577</v>
      </c>
      <c r="L21" s="8">
        <f t="shared" si="2"/>
        <v>23907</v>
      </c>
      <c r="M21" s="8">
        <f t="shared" si="2"/>
        <v>47813.35</v>
      </c>
      <c r="N21" s="8">
        <f t="shared" si="2"/>
        <v>53584.4</v>
      </c>
      <c r="O21" s="8">
        <f t="shared" si="2"/>
        <v>54865</v>
      </c>
      <c r="P21" s="8">
        <f t="shared" si="2"/>
        <v>43103.55</v>
      </c>
      <c r="Q21" s="8">
        <f t="shared" si="2"/>
        <v>40948.3725</v>
      </c>
      <c r="R21" s="50">
        <f>(Q21-N21)/N21</f>
        <v>-0.23581541456095437</v>
      </c>
      <c r="T21" t="s">
        <v>489</v>
      </c>
    </row>
    <row r="22" ht="12.75">
      <c r="R22" s="49"/>
    </row>
    <row r="23" spans="14:18" ht="12.75">
      <c r="N23" s="21" t="s">
        <v>357</v>
      </c>
      <c r="O23" s="21"/>
      <c r="P23" s="53">
        <f>O21-P21</f>
        <v>11761.449999999997</v>
      </c>
      <c r="R23" s="49"/>
    </row>
    <row r="24" spans="14:18" ht="12.75">
      <c r="N24" s="21" t="s">
        <v>545</v>
      </c>
      <c r="O24" s="21"/>
      <c r="P24" s="53">
        <f>N21-P21</f>
        <v>10480.849999999999</v>
      </c>
      <c r="R24" s="49"/>
    </row>
    <row r="25" spans="1:18" ht="12.75">
      <c r="A25" s="6"/>
      <c r="N25" s="21" t="s">
        <v>307</v>
      </c>
      <c r="O25" s="21"/>
      <c r="P25" s="53">
        <f>P21-Q21</f>
        <v>2155.1775000000052</v>
      </c>
      <c r="R25" s="49"/>
    </row>
    <row r="26" ht="12.75">
      <c r="R26" s="49"/>
    </row>
    <row r="27" spans="1:18" ht="12.75">
      <c r="A27" s="1" t="s">
        <v>251</v>
      </c>
      <c r="B27" t="s">
        <v>427</v>
      </c>
      <c r="R27" s="49"/>
    </row>
    <row r="28" spans="1:18" ht="12.75">
      <c r="A28" s="1" t="s">
        <v>557</v>
      </c>
      <c r="B28" t="s">
        <v>685</v>
      </c>
      <c r="R28" s="49"/>
    </row>
    <row r="29" spans="2:18" ht="12.75">
      <c r="B29" t="s">
        <v>438</v>
      </c>
      <c r="R29" s="49"/>
    </row>
    <row r="30" ht="12.75">
      <c r="A30" t="s">
        <v>686</v>
      </c>
    </row>
    <row r="31" ht="12.75">
      <c r="A31" s="6"/>
    </row>
    <row r="32" spans="1:20" ht="12.75">
      <c r="A32" s="6"/>
      <c r="M32" s="2"/>
      <c r="N32" s="2"/>
      <c r="O32" s="2"/>
      <c r="P32" s="2"/>
      <c r="Q32" s="2"/>
      <c r="R32" s="2"/>
      <c r="S32" s="2"/>
      <c r="T32" s="2"/>
    </row>
    <row r="33" spans="13:20" ht="12.75">
      <c r="M33" s="2"/>
      <c r="N33" s="2"/>
      <c r="O33" s="2"/>
      <c r="P33" s="2"/>
      <c r="Q33" s="2"/>
      <c r="R33" s="2"/>
      <c r="S33" s="2"/>
      <c r="T33" s="2"/>
    </row>
    <row r="34" spans="13:20" ht="12.75">
      <c r="M34" s="2"/>
      <c r="N34" s="2"/>
      <c r="O34" s="2"/>
      <c r="P34" s="2"/>
      <c r="Q34" s="2"/>
      <c r="R34" s="2"/>
      <c r="S34" s="2"/>
      <c r="T34" s="2"/>
    </row>
    <row r="63" spans="3:17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ht="12.75">
      <c r="R69" s="2"/>
    </row>
    <row r="70" ht="12.75">
      <c r="R70" s="2"/>
    </row>
    <row r="71" ht="12.75">
      <c r="R71" s="2"/>
    </row>
    <row r="72" ht="12.75">
      <c r="R72" s="2"/>
    </row>
    <row r="73" ht="12.75">
      <c r="R73" s="2"/>
    </row>
    <row r="74" ht="12.75">
      <c r="R74" s="2"/>
    </row>
  </sheetData>
  <printOptions gridLines="1"/>
  <pageMargins left="0.25" right="0.25" top="1" bottom="0.55" header="0.5" footer="0.25"/>
  <pageSetup fitToHeight="1" fitToWidth="1" horizontalDpi="300" verticalDpi="300" orientation="landscape" scale="88" r:id="rId1"/>
  <headerFooter alignWithMargins="0">
    <oddFooter>&amp;L&amp;F
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03"/>
  <sheetViews>
    <sheetView tabSelected="1" zoomScale="75" zoomScaleNormal="75" workbookViewId="0" topLeftCell="A3">
      <pane ySplit="960" topLeftCell="BM1" activePane="bottomLeft" state="split"/>
      <selection pane="topLeft" activeCell="O160" sqref="O160"/>
      <selection pane="bottomLeft" activeCell="A150" sqref="A150"/>
    </sheetView>
  </sheetViews>
  <sheetFormatPr defaultColWidth="9.140625" defaultRowHeight="12.75"/>
  <cols>
    <col min="1" max="1" width="34.00390625" style="21" customWidth="1"/>
    <col min="2" max="2" width="7.421875" style="21" bestFit="1" customWidth="1"/>
    <col min="3" max="3" width="8.57421875" style="21" hidden="1" customWidth="1"/>
    <col min="4" max="4" width="7.57421875" style="21" hidden="1" customWidth="1"/>
    <col min="5" max="5" width="8.00390625" style="21" hidden="1" customWidth="1"/>
    <col min="6" max="8" width="9.140625" style="21" hidden="1" customWidth="1"/>
    <col min="9" max="11" width="9.140625" style="21" customWidth="1"/>
    <col min="12" max="12" width="8.28125" style="21" customWidth="1"/>
    <col min="13" max="13" width="9.140625" style="21" bestFit="1" customWidth="1"/>
    <col min="14" max="14" width="10.8515625" style="21" customWidth="1"/>
    <col min="15" max="15" width="8.7109375" style="21" bestFit="1" customWidth="1"/>
    <col min="16" max="16" width="10.28125" style="21" bestFit="1" customWidth="1"/>
    <col min="17" max="17" width="9.140625" style="21" bestFit="1" customWidth="1"/>
    <col min="18" max="18" width="10.140625" style="21" bestFit="1" customWidth="1"/>
    <col min="19" max="19" width="11.7109375" style="21" customWidth="1"/>
    <col min="20" max="20" width="9.140625" style="21" customWidth="1"/>
    <col min="21" max="21" width="11.140625" style="21" bestFit="1" customWidth="1"/>
    <col min="22" max="16384" width="9.140625" style="21" customWidth="1"/>
  </cols>
  <sheetData>
    <row r="1" spans="1:2" ht="12.75">
      <c r="A1" s="21" t="s">
        <v>13</v>
      </c>
      <c r="B1"/>
    </row>
    <row r="2" ht="12.75">
      <c r="A2" s="21" t="s">
        <v>14</v>
      </c>
    </row>
    <row r="3" spans="1:18" ht="12.75">
      <c r="A3" s="44" t="s">
        <v>299</v>
      </c>
      <c r="F3" s="25"/>
      <c r="G3" s="25"/>
      <c r="H3" s="25"/>
      <c r="I3" s="25"/>
      <c r="J3" s="25"/>
      <c r="K3" s="25"/>
      <c r="L3" s="48">
        <v>6</v>
      </c>
      <c r="R3" s="25" t="s">
        <v>234</v>
      </c>
    </row>
    <row r="4" spans="3:18" ht="12.75">
      <c r="C4" s="25" t="s">
        <v>15</v>
      </c>
      <c r="D4" s="25"/>
      <c r="E4" s="25"/>
      <c r="F4" s="25"/>
      <c r="G4" s="25"/>
      <c r="H4" s="25"/>
      <c r="I4" s="25"/>
      <c r="J4" s="25"/>
      <c r="K4" s="25"/>
      <c r="L4" s="25" t="s">
        <v>305</v>
      </c>
      <c r="N4" s="25"/>
      <c r="O4" s="25" t="s">
        <v>300</v>
      </c>
      <c r="P4" s="25" t="s">
        <v>302</v>
      </c>
      <c r="Q4" s="25" t="s">
        <v>303</v>
      </c>
      <c r="R4" s="25" t="s">
        <v>297</v>
      </c>
    </row>
    <row r="5" spans="3:18" ht="12.75">
      <c r="C5" s="25" t="s">
        <v>296</v>
      </c>
      <c r="D5" s="25" t="s">
        <v>296</v>
      </c>
      <c r="E5" s="25" t="s">
        <v>296</v>
      </c>
      <c r="F5" s="25" t="s">
        <v>296</v>
      </c>
      <c r="G5" s="25" t="s">
        <v>296</v>
      </c>
      <c r="H5" s="25" t="s">
        <v>296</v>
      </c>
      <c r="I5" s="25" t="s">
        <v>296</v>
      </c>
      <c r="J5" s="25" t="s">
        <v>296</v>
      </c>
      <c r="K5" s="25" t="s">
        <v>296</v>
      </c>
      <c r="L5" s="25" t="s">
        <v>296</v>
      </c>
      <c r="M5" s="25" t="s">
        <v>306</v>
      </c>
      <c r="N5" s="25" t="s">
        <v>234</v>
      </c>
      <c r="O5" s="25" t="s">
        <v>301</v>
      </c>
      <c r="P5" s="25" t="s">
        <v>496</v>
      </c>
      <c r="Q5" s="25" t="s">
        <v>295</v>
      </c>
      <c r="R5" s="25" t="s">
        <v>298</v>
      </c>
    </row>
    <row r="6" spans="1:19" ht="12.75">
      <c r="A6" s="21" t="s">
        <v>25</v>
      </c>
      <c r="C6" s="25">
        <v>1999</v>
      </c>
      <c r="D6" s="22">
        <v>2000</v>
      </c>
      <c r="E6" s="22">
        <v>2001</v>
      </c>
      <c r="F6" s="22">
        <v>2002</v>
      </c>
      <c r="G6" s="22">
        <v>2003</v>
      </c>
      <c r="H6" s="22">
        <v>2004</v>
      </c>
      <c r="I6" s="22">
        <v>2005</v>
      </c>
      <c r="J6" s="22">
        <v>2006</v>
      </c>
      <c r="K6" s="22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22" t="s">
        <v>22</v>
      </c>
    </row>
    <row r="7" spans="1:21" ht="12.75">
      <c r="A7" s="21" t="s">
        <v>491</v>
      </c>
      <c r="B7" s="46">
        <v>51.11</v>
      </c>
      <c r="C7" s="29">
        <v>13754</v>
      </c>
      <c r="D7" s="29">
        <v>16623</v>
      </c>
      <c r="E7" s="29">
        <v>14704</v>
      </c>
      <c r="F7" s="29">
        <v>17261</v>
      </c>
      <c r="G7" s="29">
        <v>15722</v>
      </c>
      <c r="H7" s="29">
        <v>17906</v>
      </c>
      <c r="I7" s="29">
        <v>16941</v>
      </c>
      <c r="J7" s="29">
        <v>17243</v>
      </c>
      <c r="K7" s="29">
        <v>12729.96</v>
      </c>
      <c r="L7" s="2">
        <v>5066.85</v>
      </c>
      <c r="M7" s="29">
        <f>(12/$L$3)*L7</f>
        <v>10133.7</v>
      </c>
      <c r="N7" s="29">
        <v>10500</v>
      </c>
      <c r="O7" s="29">
        <v>10500</v>
      </c>
      <c r="P7" s="29">
        <v>10500</v>
      </c>
      <c r="Q7" s="29">
        <f>P7*0.95</f>
        <v>9975</v>
      </c>
      <c r="R7" s="49">
        <f>(Q7-N7)/N7</f>
        <v>-0.05</v>
      </c>
      <c r="S7" s="21" t="s">
        <v>256</v>
      </c>
      <c r="U7" s="53"/>
    </row>
    <row r="8" spans="1:18" ht="12.75">
      <c r="A8" s="21" t="s">
        <v>521</v>
      </c>
      <c r="B8" s="46"/>
      <c r="C8" s="29"/>
      <c r="D8" s="29"/>
      <c r="E8" s="29"/>
      <c r="F8" s="29"/>
      <c r="G8" s="29"/>
      <c r="H8" s="29"/>
      <c r="I8" s="29">
        <v>114672</v>
      </c>
      <c r="J8" s="29"/>
      <c r="K8" s="29"/>
      <c r="L8" s="29"/>
      <c r="M8" s="29"/>
      <c r="N8" s="29"/>
      <c r="O8" s="29"/>
      <c r="P8" s="29"/>
      <c r="Q8" s="29"/>
      <c r="R8" s="49"/>
    </row>
    <row r="9" spans="1:18" ht="12.75" hidden="1">
      <c r="A9" s="21" t="s">
        <v>277</v>
      </c>
      <c r="B9" s="46">
        <v>51.113</v>
      </c>
      <c r="C9" s="29"/>
      <c r="D9" s="29"/>
      <c r="E9" s="29"/>
      <c r="F9" s="29">
        <v>7219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9"/>
    </row>
    <row r="10" spans="1:18" ht="12.75">
      <c r="A10" s="21" t="s">
        <v>279</v>
      </c>
      <c r="B10" s="46">
        <v>51.12</v>
      </c>
      <c r="C10" s="29"/>
      <c r="D10" s="29">
        <v>749</v>
      </c>
      <c r="E10" s="29"/>
      <c r="F10" s="29">
        <v>4490</v>
      </c>
      <c r="G10" s="29">
        <v>4235</v>
      </c>
      <c r="H10" s="29">
        <v>3692</v>
      </c>
      <c r="I10" s="29">
        <v>11</v>
      </c>
      <c r="J10" s="29"/>
      <c r="K10" s="29"/>
      <c r="L10" s="29"/>
      <c r="M10" s="29"/>
      <c r="N10" s="29"/>
      <c r="O10" s="29"/>
      <c r="P10" s="29"/>
      <c r="Q10" s="29"/>
      <c r="R10" s="49"/>
    </row>
    <row r="11" spans="1:19" ht="12.75">
      <c r="A11" s="21" t="s">
        <v>50</v>
      </c>
      <c r="B11" s="46">
        <v>51.21</v>
      </c>
      <c r="C11" s="29">
        <v>1879</v>
      </c>
      <c r="D11" s="29">
        <v>2500</v>
      </c>
      <c r="E11" s="29">
        <v>3160</v>
      </c>
      <c r="F11" s="29">
        <v>5106</v>
      </c>
      <c r="G11" s="29">
        <v>3301</v>
      </c>
      <c r="H11" s="29">
        <v>3163</v>
      </c>
      <c r="I11" s="29">
        <v>7492</v>
      </c>
      <c r="J11" s="29">
        <v>3454</v>
      </c>
      <c r="K11" s="29">
        <v>2710</v>
      </c>
      <c r="L11" s="29"/>
      <c r="M11" s="29"/>
      <c r="N11" s="29">
        <v>0</v>
      </c>
      <c r="O11" s="29"/>
      <c r="P11" s="29"/>
      <c r="Q11" s="29"/>
      <c r="R11" s="49" t="e">
        <f>(Q11-N11)/N11</f>
        <v>#DIV/0!</v>
      </c>
      <c r="S11" s="2"/>
    </row>
    <row r="12" spans="1:19" ht="12.75">
      <c r="A12" s="21" t="s">
        <v>235</v>
      </c>
      <c r="B12" s="46">
        <v>51.211</v>
      </c>
      <c r="C12" s="29"/>
      <c r="D12" s="29"/>
      <c r="E12" s="29"/>
      <c r="F12" s="29">
        <v>26200</v>
      </c>
      <c r="G12" s="29">
        <v>30200</v>
      </c>
      <c r="H12" s="29">
        <v>36350</v>
      </c>
      <c r="I12" s="29">
        <v>32600</v>
      </c>
      <c r="J12" s="29">
        <v>36500</v>
      </c>
      <c r="K12" s="29">
        <v>31700</v>
      </c>
      <c r="L12" s="2">
        <f>13200+2700</f>
        <v>15900</v>
      </c>
      <c r="M12" s="29">
        <f>(12/$L$3)*L12</f>
        <v>31800</v>
      </c>
      <c r="N12" s="29">
        <v>36000</v>
      </c>
      <c r="O12" s="29">
        <f>N12*1.08</f>
        <v>38880</v>
      </c>
      <c r="P12" s="29">
        <v>38880</v>
      </c>
      <c r="Q12" s="29">
        <v>38880</v>
      </c>
      <c r="R12" s="49">
        <f>(Q12-N12)/N12</f>
        <v>0.08</v>
      </c>
      <c r="S12" t="s">
        <v>603</v>
      </c>
    </row>
    <row r="13" spans="1:21" ht="12.75">
      <c r="A13" s="21" t="s">
        <v>30</v>
      </c>
      <c r="B13" s="46">
        <v>51.22</v>
      </c>
      <c r="C13" s="29">
        <v>1052</v>
      </c>
      <c r="D13" s="29">
        <v>1329</v>
      </c>
      <c r="E13" s="29">
        <v>1124</v>
      </c>
      <c r="F13" s="29">
        <v>1677</v>
      </c>
      <c r="G13" s="29">
        <v>3775</v>
      </c>
      <c r="H13" s="29">
        <v>1652</v>
      </c>
      <c r="I13" s="29">
        <v>10064</v>
      </c>
      <c r="J13" s="29">
        <v>1319</v>
      </c>
      <c r="K13" s="29">
        <v>974</v>
      </c>
      <c r="L13" s="29">
        <v>388</v>
      </c>
      <c r="M13" s="29">
        <f>0.0765*M7</f>
        <v>775.22805</v>
      </c>
      <c r="N13" s="29">
        <v>803.25</v>
      </c>
      <c r="O13" s="29">
        <v>803</v>
      </c>
      <c r="P13" s="29">
        <f>0.0765*P7</f>
        <v>803.25</v>
      </c>
      <c r="Q13" s="29">
        <f>0.0765*Q7</f>
        <v>763.0875</v>
      </c>
      <c r="R13" s="49">
        <f>(Q13-N13)/N13</f>
        <v>-0.05000000000000003</v>
      </c>
      <c r="S13" s="44"/>
      <c r="U13" s="53"/>
    </row>
    <row r="14" spans="1:19" ht="12.75">
      <c r="A14" s="21" t="s">
        <v>57</v>
      </c>
      <c r="B14" s="46">
        <v>51.26</v>
      </c>
      <c r="C14" s="29">
        <v>7518</v>
      </c>
      <c r="D14" s="29">
        <v>4761</v>
      </c>
      <c r="E14" s="29">
        <v>16816</v>
      </c>
      <c r="F14" s="29">
        <v>4860</v>
      </c>
      <c r="G14" s="29">
        <v>6769</v>
      </c>
      <c r="H14" s="29">
        <v>4233</v>
      </c>
      <c r="I14" s="29">
        <v>1631</v>
      </c>
      <c r="J14" s="29">
        <v>6842</v>
      </c>
      <c r="K14" s="29">
        <f>10393+4480</f>
        <v>14873</v>
      </c>
      <c r="L14" s="2">
        <v>0</v>
      </c>
      <c r="M14" s="29"/>
      <c r="N14" s="29">
        <v>7000</v>
      </c>
      <c r="O14" s="29">
        <v>5000</v>
      </c>
      <c r="P14" s="29">
        <v>5000</v>
      </c>
      <c r="Q14" s="29">
        <v>5000</v>
      </c>
      <c r="R14" s="49">
        <f>(Q14-N14)/N14</f>
        <v>-0.2857142857142857</v>
      </c>
      <c r="S14" s="29" t="s">
        <v>375</v>
      </c>
    </row>
    <row r="15" spans="1:21" ht="12.75">
      <c r="A15" s="21" t="s">
        <v>58</v>
      </c>
      <c r="B15" s="46">
        <v>51.291</v>
      </c>
      <c r="C15" s="29"/>
      <c r="D15" s="29"/>
      <c r="E15" s="29"/>
      <c r="F15" s="29">
        <v>24911</v>
      </c>
      <c r="G15" s="29">
        <v>29391</v>
      </c>
      <c r="H15" s="29"/>
      <c r="I15" s="29"/>
      <c r="J15" s="29"/>
      <c r="K15" s="29"/>
      <c r="L15" s="29">
        <v>0</v>
      </c>
      <c r="M15" s="29"/>
      <c r="N15" s="29"/>
      <c r="O15" s="29"/>
      <c r="P15" s="29"/>
      <c r="Q15" s="29"/>
      <c r="R15" s="49"/>
      <c r="U15" s="96"/>
    </row>
    <row r="16" spans="2:18" ht="12.75">
      <c r="B16" s="4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49"/>
    </row>
    <row r="17" spans="1:20" ht="12.75">
      <c r="A17" s="21" t="s">
        <v>528</v>
      </c>
      <c r="B17" s="46">
        <v>52.1205</v>
      </c>
      <c r="C17" s="29"/>
      <c r="D17" s="29"/>
      <c r="E17" s="29"/>
      <c r="F17" s="29"/>
      <c r="G17" s="29"/>
      <c r="H17" s="29"/>
      <c r="I17" s="29"/>
      <c r="J17" s="29">
        <v>750</v>
      </c>
      <c r="K17" s="29">
        <v>750</v>
      </c>
      <c r="L17" s="29">
        <v>0</v>
      </c>
      <c r="M17" s="29"/>
      <c r="N17" s="29">
        <v>750</v>
      </c>
      <c r="O17" s="29">
        <v>750</v>
      </c>
      <c r="P17" s="29">
        <v>750</v>
      </c>
      <c r="Q17" s="29">
        <v>750</v>
      </c>
      <c r="R17" s="49"/>
      <c r="T17" s="29"/>
    </row>
    <row r="18" spans="1:18" ht="12.75">
      <c r="A18" s="21" t="s">
        <v>97</v>
      </c>
      <c r="B18" s="46">
        <v>52.121</v>
      </c>
      <c r="C18" s="29"/>
      <c r="D18" s="29"/>
      <c r="E18" s="29"/>
      <c r="F18" s="29">
        <v>219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49"/>
    </row>
    <row r="19" spans="1:18" ht="12.75">
      <c r="A19" s="21" t="s">
        <v>59</v>
      </c>
      <c r="B19" s="46">
        <v>52.126</v>
      </c>
      <c r="C19" s="29">
        <v>5623</v>
      </c>
      <c r="D19" s="29">
        <v>2904</v>
      </c>
      <c r="E19" s="29">
        <v>734</v>
      </c>
      <c r="F19" s="29">
        <v>7591</v>
      </c>
      <c r="G19" s="29">
        <v>5906</v>
      </c>
      <c r="H19" s="29">
        <v>3902</v>
      </c>
      <c r="I19" s="29">
        <v>5518</v>
      </c>
      <c r="J19" s="29">
        <v>5296</v>
      </c>
      <c r="K19" s="29">
        <v>4554</v>
      </c>
      <c r="L19" s="29">
        <v>2644</v>
      </c>
      <c r="M19" s="29">
        <f>(12/$L$3)*L19</f>
        <v>5288</v>
      </c>
      <c r="N19" s="29">
        <v>5300</v>
      </c>
      <c r="O19" s="29">
        <v>5300</v>
      </c>
      <c r="P19" s="29">
        <v>5300</v>
      </c>
      <c r="Q19" s="29">
        <v>5300</v>
      </c>
      <c r="R19" s="49">
        <f>(Q19-N19)/N19</f>
        <v>0</v>
      </c>
    </row>
    <row r="20" spans="1:19" ht="12.75">
      <c r="A20" s="21" t="s">
        <v>278</v>
      </c>
      <c r="B20" s="46">
        <v>52.1302</v>
      </c>
      <c r="C20" s="29"/>
      <c r="D20" s="29"/>
      <c r="E20" s="29"/>
      <c r="F20" s="29">
        <v>1494</v>
      </c>
      <c r="G20" s="29">
        <v>1494</v>
      </c>
      <c r="H20" s="29">
        <v>389</v>
      </c>
      <c r="I20" s="29"/>
      <c r="J20" s="29"/>
      <c r="K20" s="29">
        <v>3113</v>
      </c>
      <c r="L20" s="29"/>
      <c r="M20" s="29"/>
      <c r="N20" s="29">
        <v>3200</v>
      </c>
      <c r="O20" s="29"/>
      <c r="P20" s="29"/>
      <c r="Q20" s="29"/>
      <c r="R20" s="49">
        <f>(Q20-N20)/N20</f>
        <v>-1</v>
      </c>
      <c r="S20" s="21" t="s">
        <v>717</v>
      </c>
    </row>
    <row r="21" spans="1:18" ht="0.75" customHeight="1" hidden="1">
      <c r="A21" s="21" t="s">
        <v>247</v>
      </c>
      <c r="B21" s="46">
        <v>52.1305</v>
      </c>
      <c r="C21" s="29"/>
      <c r="D21" s="29"/>
      <c r="E21" s="29">
        <v>90</v>
      </c>
      <c r="F21" s="29">
        <v>300</v>
      </c>
      <c r="G21" s="29"/>
      <c r="H21" s="29"/>
      <c r="I21" s="29"/>
      <c r="J21" s="29"/>
      <c r="K21" s="29"/>
      <c r="L21" s="29"/>
      <c r="M21" s="29">
        <v>0</v>
      </c>
      <c r="N21" s="29"/>
      <c r="O21" s="29"/>
      <c r="P21" s="29"/>
      <c r="Q21" s="29"/>
      <c r="R21" s="49"/>
    </row>
    <row r="22" spans="1:19" ht="12.75">
      <c r="A22" s="21" t="s">
        <v>445</v>
      </c>
      <c r="B22" s="46">
        <v>52.1309</v>
      </c>
      <c r="C22" s="29"/>
      <c r="D22" s="29"/>
      <c r="E22" s="29"/>
      <c r="F22" s="29"/>
      <c r="G22" s="29"/>
      <c r="H22" s="29"/>
      <c r="I22" s="29">
        <v>350</v>
      </c>
      <c r="J22" s="29">
        <v>350</v>
      </c>
      <c r="K22" s="29">
        <v>400</v>
      </c>
      <c r="L22" s="29">
        <v>400</v>
      </c>
      <c r="M22" s="29"/>
      <c r="N22" s="29">
        <v>400</v>
      </c>
      <c r="O22" s="29">
        <v>400</v>
      </c>
      <c r="P22" s="29">
        <v>400</v>
      </c>
      <c r="Q22" s="29">
        <v>400</v>
      </c>
      <c r="R22" s="49"/>
      <c r="S22" s="21" t="s">
        <v>656</v>
      </c>
    </row>
    <row r="23" spans="1:18" ht="12.75">
      <c r="A23" s="21" t="s">
        <v>60</v>
      </c>
      <c r="B23" s="46">
        <v>52.131</v>
      </c>
      <c r="C23" s="29">
        <v>1625</v>
      </c>
      <c r="D23" s="29">
        <v>900</v>
      </c>
      <c r="E23" s="29">
        <v>1062</v>
      </c>
      <c r="F23" s="29">
        <v>1835</v>
      </c>
      <c r="G23" s="29">
        <v>1637</v>
      </c>
      <c r="H23" s="29">
        <v>300</v>
      </c>
      <c r="I23" s="29">
        <v>977</v>
      </c>
      <c r="J23" s="29">
        <v>2475</v>
      </c>
      <c r="K23" s="29">
        <v>2835</v>
      </c>
      <c r="L23" s="2">
        <v>2700</v>
      </c>
      <c r="M23" s="29">
        <v>3000</v>
      </c>
      <c r="N23" s="29">
        <v>3000</v>
      </c>
      <c r="O23" s="29">
        <v>3000</v>
      </c>
      <c r="P23" s="29">
        <v>3000</v>
      </c>
      <c r="Q23" s="29">
        <v>3000</v>
      </c>
      <c r="R23" s="49">
        <f>(Q23-N23)/N23</f>
        <v>0</v>
      </c>
    </row>
    <row r="24" spans="1:18" ht="12.75">
      <c r="A24" s="21" t="s">
        <v>61</v>
      </c>
      <c r="B24" s="46">
        <v>52.1312</v>
      </c>
      <c r="C24" s="29"/>
      <c r="D24" s="29"/>
      <c r="E24" s="29">
        <v>558</v>
      </c>
      <c r="F24" s="29">
        <v>745</v>
      </c>
      <c r="G24" s="29">
        <v>685</v>
      </c>
      <c r="H24" s="29">
        <v>1368</v>
      </c>
      <c r="I24" s="29">
        <v>1618</v>
      </c>
      <c r="J24" s="29">
        <v>1483</v>
      </c>
      <c r="K24" s="29">
        <v>2780</v>
      </c>
      <c r="L24" s="11">
        <v>988</v>
      </c>
      <c r="M24" s="29">
        <f>(12/$L$3)*L24</f>
        <v>1976</v>
      </c>
      <c r="N24" s="29">
        <v>4000</v>
      </c>
      <c r="O24" s="29">
        <v>2000</v>
      </c>
      <c r="P24" s="29">
        <v>2000</v>
      </c>
      <c r="Q24" s="29">
        <v>2000</v>
      </c>
      <c r="R24" s="49">
        <f>(Q24-N24)/N24</f>
        <v>-0.5</v>
      </c>
    </row>
    <row r="25" spans="1:19" ht="12.75">
      <c r="A25" s="21" t="s">
        <v>62</v>
      </c>
      <c r="B25" s="46">
        <v>52.1316</v>
      </c>
      <c r="C25" s="29">
        <v>3015</v>
      </c>
      <c r="D25" s="29">
        <v>4244</v>
      </c>
      <c r="E25" s="29">
        <v>1865</v>
      </c>
      <c r="F25" s="29">
        <v>105</v>
      </c>
      <c r="G25" s="29">
        <v>1531</v>
      </c>
      <c r="H25" s="29">
        <v>1684</v>
      </c>
      <c r="I25" s="29">
        <v>1853</v>
      </c>
      <c r="J25" s="29">
        <v>2038</v>
      </c>
      <c r="K25" s="29">
        <v>2242</v>
      </c>
      <c r="L25" s="11">
        <v>0</v>
      </c>
      <c r="M25" s="29">
        <f>(12/$L$3)*L25</f>
        <v>0</v>
      </c>
      <c r="N25" s="29">
        <v>3500</v>
      </c>
      <c r="O25" s="29">
        <v>1200</v>
      </c>
      <c r="P25" s="29">
        <v>1200</v>
      </c>
      <c r="Q25" s="29">
        <v>1200</v>
      </c>
      <c r="R25" s="49">
        <f>(Q25-N25)/N25</f>
        <v>-0.6571428571428571</v>
      </c>
      <c r="S25" s="21" t="s">
        <v>720</v>
      </c>
    </row>
    <row r="26" spans="1:18" ht="12.75">
      <c r="A26" s="21" t="s">
        <v>304</v>
      </c>
      <c r="B26" s="46">
        <v>52.1319</v>
      </c>
      <c r="C26" s="29"/>
      <c r="D26" s="29"/>
      <c r="E26" s="29">
        <v>376</v>
      </c>
      <c r="F26" s="29"/>
      <c r="G26" s="29">
        <v>2660</v>
      </c>
      <c r="H26" s="29">
        <v>1239</v>
      </c>
      <c r="I26" s="29">
        <v>1318</v>
      </c>
      <c r="J26" s="29">
        <v>1449</v>
      </c>
      <c r="K26" s="29">
        <v>1823</v>
      </c>
      <c r="L26" s="11">
        <v>625</v>
      </c>
      <c r="M26" s="29">
        <f>(12/$L$3)*L26</f>
        <v>1250</v>
      </c>
      <c r="N26" s="29">
        <v>1500</v>
      </c>
      <c r="O26" s="29">
        <v>1400</v>
      </c>
      <c r="P26" s="29">
        <v>1400</v>
      </c>
      <c r="Q26" s="29">
        <v>1400</v>
      </c>
      <c r="R26" s="49">
        <f>(Q26-N26)/N26</f>
        <v>-0.06666666666666667</v>
      </c>
    </row>
    <row r="27" spans="1:18" ht="12.75">
      <c r="A27" s="21" t="s">
        <v>407</v>
      </c>
      <c r="B27" s="46">
        <v>52.2206</v>
      </c>
      <c r="C27" s="29"/>
      <c r="D27" s="29"/>
      <c r="E27" s="29"/>
      <c r="F27" s="29"/>
      <c r="G27" s="29"/>
      <c r="H27" s="29"/>
      <c r="I27" s="29"/>
      <c r="J27" s="29"/>
      <c r="K27" s="29">
        <v>561</v>
      </c>
      <c r="L27" s="11">
        <v>40</v>
      </c>
      <c r="M27" s="29"/>
      <c r="N27" s="29"/>
      <c r="O27" s="29"/>
      <c r="P27" s="29"/>
      <c r="Q27" s="29"/>
      <c r="R27" s="49"/>
    </row>
    <row r="28" spans="1:18" ht="12.75">
      <c r="A28" s="21" t="s">
        <v>33</v>
      </c>
      <c r="B28" s="46">
        <v>52.321</v>
      </c>
      <c r="C28" s="21">
        <v>376</v>
      </c>
      <c r="D28" s="21">
        <v>-38</v>
      </c>
      <c r="E28" s="29"/>
      <c r="F28" s="29">
        <v>5</v>
      </c>
      <c r="G28" s="29">
        <v>150</v>
      </c>
      <c r="H28" s="29">
        <v>1520</v>
      </c>
      <c r="I28" s="29">
        <v>1275</v>
      </c>
      <c r="J28" s="29">
        <v>2296</v>
      </c>
      <c r="K28" s="29">
        <v>1158</v>
      </c>
      <c r="L28" s="11">
        <v>257</v>
      </c>
      <c r="M28" s="29">
        <f>(12/$L$3)*L28</f>
        <v>514</v>
      </c>
      <c r="N28" s="29">
        <v>1500</v>
      </c>
      <c r="O28" s="29">
        <v>1500</v>
      </c>
      <c r="P28" s="29">
        <v>1500</v>
      </c>
      <c r="Q28" s="29">
        <v>1500</v>
      </c>
      <c r="R28" s="49">
        <f>(Q28-N28)/N28</f>
        <v>0</v>
      </c>
    </row>
    <row r="29" spans="1:18" ht="12.75">
      <c r="A29" s="21" t="s">
        <v>54</v>
      </c>
      <c r="B29" s="46">
        <v>52.33</v>
      </c>
      <c r="C29" s="29"/>
      <c r="D29" s="29">
        <v>12977</v>
      </c>
      <c r="E29" s="29">
        <v>13697</v>
      </c>
      <c r="F29" s="29">
        <v>8658</v>
      </c>
      <c r="G29" s="29">
        <v>8792</v>
      </c>
      <c r="H29" s="29">
        <v>8050</v>
      </c>
      <c r="I29" s="29">
        <v>6340</v>
      </c>
      <c r="J29" s="29">
        <v>7937</v>
      </c>
      <c r="K29" s="29">
        <f>3836+2230</f>
        <v>6066</v>
      </c>
      <c r="L29" s="11">
        <v>2512</v>
      </c>
      <c r="M29" s="29">
        <f>(12/$L$3)*L29</f>
        <v>5024</v>
      </c>
      <c r="N29" s="29">
        <v>5000</v>
      </c>
      <c r="O29" s="29">
        <v>5000</v>
      </c>
      <c r="P29" s="29">
        <v>5000</v>
      </c>
      <c r="Q29" s="29">
        <v>5000</v>
      </c>
      <c r="R29" s="49">
        <f>(Q29-N29)/N29</f>
        <v>0</v>
      </c>
    </row>
    <row r="30" spans="1:18" ht="12.75">
      <c r="A30" s="21" t="s">
        <v>522</v>
      </c>
      <c r="B30" s="46">
        <v>52.34</v>
      </c>
      <c r="C30" s="29"/>
      <c r="D30" s="29"/>
      <c r="E30" s="29"/>
      <c r="F30" s="29"/>
      <c r="G30" s="29"/>
      <c r="H30" s="29"/>
      <c r="I30" s="29">
        <v>4867</v>
      </c>
      <c r="J30" s="29"/>
      <c r="K30" s="29"/>
      <c r="L30" s="29"/>
      <c r="M30" s="29">
        <f>(12/$L$3)*L30</f>
        <v>0</v>
      </c>
      <c r="N30" s="29"/>
      <c r="O30" s="29"/>
      <c r="P30" s="29"/>
      <c r="Q30" s="29"/>
      <c r="R30" s="49"/>
    </row>
    <row r="31" spans="1:18" ht="12.75" hidden="1">
      <c r="A31" s="21" t="s">
        <v>274</v>
      </c>
      <c r="B31" s="46">
        <v>52.361</v>
      </c>
      <c r="C31" s="29"/>
      <c r="D31" s="29"/>
      <c r="E31" s="29">
        <v>5701</v>
      </c>
      <c r="F31" s="29">
        <v>45</v>
      </c>
      <c r="G31" s="29">
        <v>60</v>
      </c>
      <c r="H31" s="29"/>
      <c r="I31" s="29"/>
      <c r="J31" s="29"/>
      <c r="K31" s="29"/>
      <c r="L31" s="29"/>
      <c r="M31" s="29">
        <f>(12/$L$3)*L31</f>
        <v>0</v>
      </c>
      <c r="N31" s="29"/>
      <c r="O31" s="29"/>
      <c r="P31" s="29"/>
      <c r="Q31" s="29"/>
      <c r="R31" s="49"/>
    </row>
    <row r="32" spans="1:19" ht="12.75">
      <c r="A32" s="21" t="s">
        <v>276</v>
      </c>
      <c r="B32" s="46">
        <v>52.37</v>
      </c>
      <c r="C32" s="29"/>
      <c r="D32" s="29"/>
      <c r="E32" s="29"/>
      <c r="F32" s="29"/>
      <c r="G32" s="29">
        <v>299</v>
      </c>
      <c r="H32" s="29">
        <v>1033</v>
      </c>
      <c r="I32" s="29">
        <v>130</v>
      </c>
      <c r="J32" s="29">
        <f>60+78</f>
        <v>138</v>
      </c>
      <c r="K32" s="29"/>
      <c r="L32" s="29">
        <v>0</v>
      </c>
      <c r="M32" s="29">
        <f>(12/$L$3)*L32</f>
        <v>0</v>
      </c>
      <c r="N32" s="29"/>
      <c r="O32" s="29"/>
      <c r="P32" s="29"/>
      <c r="Q32" s="29"/>
      <c r="R32" s="49"/>
      <c r="S32" s="29"/>
    </row>
    <row r="33" spans="1:19" ht="12.75">
      <c r="A33" s="21" t="s">
        <v>763</v>
      </c>
      <c r="B33" s="4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10000</v>
      </c>
      <c r="R33" s="49"/>
      <c r="S33" s="29"/>
    </row>
    <row r="34" spans="2:19" ht="12.75">
      <c r="B34" s="4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9"/>
      <c r="S34" s="29"/>
    </row>
    <row r="35" spans="1:18" ht="12.75" hidden="1">
      <c r="A35" s="21" t="s">
        <v>63</v>
      </c>
      <c r="B35" s="46">
        <v>53.1321</v>
      </c>
      <c r="C35" s="29"/>
      <c r="D35" s="29">
        <v>1065</v>
      </c>
      <c r="E35" s="29">
        <v>1065</v>
      </c>
      <c r="F35" s="29">
        <v>2000</v>
      </c>
      <c r="G35" s="29"/>
      <c r="H35" s="29"/>
      <c r="I35" s="29"/>
      <c r="J35" s="29"/>
      <c r="K35" s="29"/>
      <c r="L35" s="29"/>
      <c r="M35" s="29">
        <v>0</v>
      </c>
      <c r="N35" s="29"/>
      <c r="O35" s="29"/>
      <c r="P35" s="29"/>
      <c r="Q35" s="29"/>
      <c r="R35" s="49"/>
    </row>
    <row r="36" spans="1:18" ht="12.75" hidden="1">
      <c r="A36" s="21" t="s">
        <v>64</v>
      </c>
      <c r="B36" s="46">
        <v>53.134</v>
      </c>
      <c r="C36" s="29">
        <v>1310</v>
      </c>
      <c r="D36" s="29">
        <v>1550</v>
      </c>
      <c r="E36" s="29">
        <v>1385</v>
      </c>
      <c r="F36" s="29">
        <v>1685</v>
      </c>
      <c r="G36" s="29">
        <v>1632</v>
      </c>
      <c r="H36" s="29"/>
      <c r="I36" s="29"/>
      <c r="J36" s="29"/>
      <c r="K36" s="29"/>
      <c r="L36" s="29"/>
      <c r="M36" s="29">
        <v>0</v>
      </c>
      <c r="N36" s="29"/>
      <c r="O36" s="29"/>
      <c r="P36" s="29"/>
      <c r="Q36" s="29"/>
      <c r="R36" s="49"/>
    </row>
    <row r="37" spans="1:18" ht="12.75">
      <c r="A37" s="21" t="s">
        <v>404</v>
      </c>
      <c r="B37" s="46">
        <v>53.16</v>
      </c>
      <c r="C37" s="29"/>
      <c r="D37" s="29"/>
      <c r="E37" s="29"/>
      <c r="F37" s="29"/>
      <c r="G37" s="29"/>
      <c r="H37" s="29"/>
      <c r="I37" s="29"/>
      <c r="J37" s="29">
        <v>2310</v>
      </c>
      <c r="K37" s="29"/>
      <c r="L37" s="29"/>
      <c r="M37" s="29"/>
      <c r="N37" s="29"/>
      <c r="O37" s="29"/>
      <c r="P37" s="29"/>
      <c r="Q37" s="29"/>
      <c r="R37" s="49"/>
    </row>
    <row r="38" spans="1:18" ht="12.75" hidden="1">
      <c r="A38" s="21" t="s">
        <v>275</v>
      </c>
      <c r="B38" s="46">
        <v>53.1702</v>
      </c>
      <c r="C38" s="29"/>
      <c r="D38" s="29">
        <v>5463</v>
      </c>
      <c r="E38" s="29">
        <v>45</v>
      </c>
      <c r="F38" s="29"/>
      <c r="G38" s="29"/>
      <c r="H38" s="29"/>
      <c r="I38" s="29"/>
      <c r="J38" s="29"/>
      <c r="K38" s="29"/>
      <c r="L38" s="29"/>
      <c r="M38" s="29">
        <f>(12/$L$3)*L38</f>
        <v>0</v>
      </c>
      <c r="N38" s="29"/>
      <c r="O38" s="29"/>
      <c r="P38" s="29"/>
      <c r="Q38" s="29"/>
      <c r="R38" s="49"/>
    </row>
    <row r="39" spans="1:18" ht="12.75">
      <c r="A39" s="21" t="s">
        <v>65</v>
      </c>
      <c r="B39" s="46">
        <v>53.1704</v>
      </c>
      <c r="C39" s="29">
        <v>9097</v>
      </c>
      <c r="D39" s="29">
        <v>4013</v>
      </c>
      <c r="E39" s="29">
        <v>3762</v>
      </c>
      <c r="F39" s="29">
        <v>2544</v>
      </c>
      <c r="G39" s="29">
        <v>3127</v>
      </c>
      <c r="H39" s="29">
        <v>590</v>
      </c>
      <c r="I39" s="29">
        <v>2200</v>
      </c>
      <c r="J39" s="29">
        <f>36+3337</f>
        <v>3373</v>
      </c>
      <c r="K39" s="29">
        <v>6466</v>
      </c>
      <c r="L39" s="11">
        <v>2628</v>
      </c>
      <c r="M39" s="29">
        <f>(12/$L$3)*L39</f>
        <v>5256</v>
      </c>
      <c r="N39" s="29">
        <v>4000</v>
      </c>
      <c r="O39" s="29">
        <v>4000</v>
      </c>
      <c r="P39" s="29">
        <v>4000</v>
      </c>
      <c r="Q39" s="29">
        <v>4000</v>
      </c>
      <c r="R39" s="49">
        <f>(Q39-N39)/N39</f>
        <v>0</v>
      </c>
    </row>
    <row r="40" spans="1:18" ht="12.75">
      <c r="A40" s="21" t="s">
        <v>40</v>
      </c>
      <c r="B40" s="46">
        <v>53.171</v>
      </c>
      <c r="C40" s="29">
        <v>3500</v>
      </c>
      <c r="D40" s="29">
        <v>5080</v>
      </c>
      <c r="E40" s="29">
        <v>6741</v>
      </c>
      <c r="F40" s="29">
        <v>5447</v>
      </c>
      <c r="G40" s="29">
        <v>9187</v>
      </c>
      <c r="H40" s="29">
        <v>6428</v>
      </c>
      <c r="I40" s="29">
        <v>8048</v>
      </c>
      <c r="J40" s="29">
        <v>12273</v>
      </c>
      <c r="K40" s="29">
        <v>9361</v>
      </c>
      <c r="L40" s="11">
        <v>4073</v>
      </c>
      <c r="M40" s="29">
        <f>(12/$L$3)*L40</f>
        <v>8146</v>
      </c>
      <c r="N40" s="29">
        <v>9000</v>
      </c>
      <c r="O40" s="29">
        <v>9000</v>
      </c>
      <c r="P40" s="29">
        <v>9000</v>
      </c>
      <c r="Q40" s="29">
        <v>9000</v>
      </c>
      <c r="R40" s="49">
        <f>(Q40-N40)/N40</f>
        <v>0</v>
      </c>
    </row>
    <row r="41" spans="1:18" ht="12.75">
      <c r="A41" s="21" t="s">
        <v>465</v>
      </c>
      <c r="B41" s="46">
        <v>53.1729</v>
      </c>
      <c r="C41" s="29"/>
      <c r="D41" s="29"/>
      <c r="E41" s="29"/>
      <c r="F41" s="29"/>
      <c r="G41" s="29"/>
      <c r="H41" s="29"/>
      <c r="I41" s="29">
        <v>1995</v>
      </c>
      <c r="J41" s="29"/>
      <c r="K41" s="29"/>
      <c r="L41" s="29"/>
      <c r="M41" s="29"/>
      <c r="N41" s="29"/>
      <c r="O41" s="29"/>
      <c r="P41" s="29"/>
      <c r="Q41" s="29"/>
      <c r="R41" s="49" t="e">
        <f>(Q41-N41)/N41</f>
        <v>#DIV/0!</v>
      </c>
    </row>
    <row r="42" spans="1:18" ht="12.75">
      <c r="A42" s="21" t="s">
        <v>66</v>
      </c>
      <c r="B42" s="46">
        <v>53.172</v>
      </c>
      <c r="C42" s="29">
        <v>120</v>
      </c>
      <c r="D42" s="29">
        <v>160</v>
      </c>
      <c r="E42" s="29"/>
      <c r="F42" s="29">
        <v>116</v>
      </c>
      <c r="G42" s="29"/>
      <c r="H42" s="29">
        <v>74</v>
      </c>
      <c r="I42" s="29"/>
      <c r="J42" s="29">
        <v>226</v>
      </c>
      <c r="K42" s="29"/>
      <c r="L42" s="29">
        <v>940</v>
      </c>
      <c r="M42" s="29">
        <f aca="true" t="shared" si="0" ref="M42:M47">(12/$L$3)*L42</f>
        <v>1880</v>
      </c>
      <c r="N42" s="29"/>
      <c r="O42" s="29"/>
      <c r="P42" s="29"/>
      <c r="Q42" s="29"/>
      <c r="R42" s="49"/>
    </row>
    <row r="43" spans="1:18" ht="12.75">
      <c r="A43" s="21" t="s">
        <v>67</v>
      </c>
      <c r="B43" s="46">
        <v>53.175</v>
      </c>
      <c r="C43" s="29">
        <v>280</v>
      </c>
      <c r="D43" s="29">
        <v>56</v>
      </c>
      <c r="E43" s="29">
        <v>2415</v>
      </c>
      <c r="F43" s="29">
        <v>709</v>
      </c>
      <c r="G43" s="29">
        <v>420</v>
      </c>
      <c r="H43" s="29">
        <v>1277</v>
      </c>
      <c r="I43" s="29">
        <v>2005</v>
      </c>
      <c r="J43" s="29">
        <f>1743+66</f>
        <v>1809</v>
      </c>
      <c r="K43" s="29">
        <f>2240+28</f>
        <v>2268</v>
      </c>
      <c r="L43" s="29">
        <v>953</v>
      </c>
      <c r="M43" s="29">
        <f t="shared" si="0"/>
        <v>1906</v>
      </c>
      <c r="N43" s="29">
        <v>1700</v>
      </c>
      <c r="O43" s="29">
        <v>1900</v>
      </c>
      <c r="P43" s="29">
        <v>1900</v>
      </c>
      <c r="Q43" s="29">
        <v>1900</v>
      </c>
      <c r="R43" s="49">
        <f>(Q43-N43)/N43</f>
        <v>0.11764705882352941</v>
      </c>
    </row>
    <row r="44" spans="1:18" ht="12.75">
      <c r="A44" s="21" t="s">
        <v>68</v>
      </c>
      <c r="B44" s="46">
        <v>53.176</v>
      </c>
      <c r="C44" s="29">
        <v>11</v>
      </c>
      <c r="D44" s="29">
        <v>3</v>
      </c>
      <c r="E44" s="29">
        <v>95</v>
      </c>
      <c r="F44" s="29">
        <v>70</v>
      </c>
      <c r="G44" s="29">
        <v>94</v>
      </c>
      <c r="H44" s="29">
        <v>210</v>
      </c>
      <c r="I44" s="29">
        <v>174</v>
      </c>
      <c r="J44" s="29">
        <v>266</v>
      </c>
      <c r="K44" s="29">
        <v>319</v>
      </c>
      <c r="L44" s="29">
        <v>159</v>
      </c>
      <c r="M44" s="29">
        <f t="shared" si="0"/>
        <v>318</v>
      </c>
      <c r="N44" s="29">
        <v>300</v>
      </c>
      <c r="O44" s="29">
        <v>300</v>
      </c>
      <c r="P44" s="29">
        <v>300</v>
      </c>
      <c r="Q44" s="29">
        <v>300</v>
      </c>
      <c r="R44" s="49">
        <f>(Q44-N44)/N44</f>
        <v>0</v>
      </c>
    </row>
    <row r="45" spans="1:18" ht="12.75">
      <c r="A45" s="21" t="s">
        <v>69</v>
      </c>
      <c r="B45" s="46">
        <v>53.177</v>
      </c>
      <c r="C45" s="29"/>
      <c r="D45" s="29"/>
      <c r="E45" s="29">
        <v>245</v>
      </c>
      <c r="F45" s="29">
        <v>175</v>
      </c>
      <c r="G45" s="29"/>
      <c r="H45" s="29">
        <v>751</v>
      </c>
      <c r="I45" s="29">
        <v>85</v>
      </c>
      <c r="J45" s="29">
        <v>458</v>
      </c>
      <c r="K45" s="29">
        <v>828</v>
      </c>
      <c r="L45" s="29">
        <v>60</v>
      </c>
      <c r="M45" s="29">
        <f t="shared" si="0"/>
        <v>120</v>
      </c>
      <c r="N45" s="29">
        <v>500</v>
      </c>
      <c r="O45" s="29">
        <v>500</v>
      </c>
      <c r="P45" s="29">
        <v>500</v>
      </c>
      <c r="Q45" s="29">
        <v>500</v>
      </c>
      <c r="R45" s="49">
        <f aca="true" t="shared" si="1" ref="R45:R58">(Q45-N45)/N45</f>
        <v>0</v>
      </c>
    </row>
    <row r="46" spans="1:18" ht="12.75">
      <c r="A46" s="21" t="s">
        <v>602</v>
      </c>
      <c r="B46" s="46">
        <v>53.178</v>
      </c>
      <c r="C46" s="29"/>
      <c r="D46" s="29"/>
      <c r="E46" s="29"/>
      <c r="F46" s="29"/>
      <c r="G46" s="29"/>
      <c r="H46" s="29"/>
      <c r="I46" s="29"/>
      <c r="J46" s="29"/>
      <c r="K46" s="29">
        <v>150</v>
      </c>
      <c r="L46" s="29">
        <v>165</v>
      </c>
      <c r="M46" s="29">
        <f t="shared" si="0"/>
        <v>330</v>
      </c>
      <c r="N46" s="29"/>
      <c r="O46" s="29"/>
      <c r="P46" s="29"/>
      <c r="Q46" s="29"/>
      <c r="R46" s="49"/>
    </row>
    <row r="47" spans="1:18" ht="12.75">
      <c r="A47" s="21" t="s">
        <v>70</v>
      </c>
      <c r="B47" s="46">
        <v>53.179</v>
      </c>
      <c r="C47" s="29">
        <v>5</v>
      </c>
      <c r="D47" s="29">
        <v>49</v>
      </c>
      <c r="E47" s="29">
        <v>516</v>
      </c>
      <c r="F47" s="29">
        <v>58</v>
      </c>
      <c r="G47" s="29">
        <v>1353</v>
      </c>
      <c r="H47" s="29">
        <v>3172</v>
      </c>
      <c r="I47" s="29">
        <v>3781</v>
      </c>
      <c r="J47" s="29">
        <v>5727</v>
      </c>
      <c r="K47" s="29">
        <v>5605</v>
      </c>
      <c r="L47" s="29">
        <v>3524</v>
      </c>
      <c r="M47" s="29">
        <f t="shared" si="0"/>
        <v>7048</v>
      </c>
      <c r="N47" s="29">
        <v>5000</v>
      </c>
      <c r="O47" s="29">
        <v>7000</v>
      </c>
      <c r="P47" s="29">
        <v>7000</v>
      </c>
      <c r="Q47" s="29">
        <v>7000</v>
      </c>
      <c r="R47" s="49">
        <f t="shared" si="1"/>
        <v>0.4</v>
      </c>
    </row>
    <row r="48" spans="13:18" ht="12.75">
      <c r="M48" s="29"/>
      <c r="R48" s="49"/>
    </row>
    <row r="49" spans="1:18" ht="12.75">
      <c r="A49" s="21" t="s">
        <v>253</v>
      </c>
      <c r="B49" s="46">
        <v>54.22</v>
      </c>
      <c r="F49" s="21">
        <v>5238</v>
      </c>
      <c r="I49" s="21">
        <v>15376</v>
      </c>
      <c r="M49" s="29"/>
      <c r="R49" s="49"/>
    </row>
    <row r="50" spans="1:19" ht="12.75">
      <c r="A50" s="21" t="s">
        <v>121</v>
      </c>
      <c r="B50" s="46">
        <v>54.24</v>
      </c>
      <c r="E50" s="29">
        <v>11308</v>
      </c>
      <c r="G50" s="21">
        <v>2341</v>
      </c>
      <c r="I50" s="21">
        <v>2687</v>
      </c>
      <c r="K50" s="21">
        <v>364</v>
      </c>
      <c r="L50" s="21">
        <v>737</v>
      </c>
      <c r="M50" s="29"/>
      <c r="N50" s="21">
        <v>500</v>
      </c>
      <c r="R50" s="49">
        <f t="shared" si="1"/>
        <v>-1</v>
      </c>
      <c r="S50" s="21" t="s">
        <v>374</v>
      </c>
    </row>
    <row r="51" spans="1:18" ht="12.75">
      <c r="A51" s="21" t="s">
        <v>308</v>
      </c>
      <c r="B51" s="46">
        <v>54.2402</v>
      </c>
      <c r="E51" s="29"/>
      <c r="G51" s="21">
        <v>19041</v>
      </c>
      <c r="I51" s="21">
        <v>1200</v>
      </c>
      <c r="J51" s="21">
        <v>1200</v>
      </c>
      <c r="M51" s="29"/>
      <c r="R51" s="49" t="e">
        <f t="shared" si="1"/>
        <v>#DIV/0!</v>
      </c>
    </row>
    <row r="52" spans="1:18" ht="12.75">
      <c r="A52" s="21" t="s">
        <v>71</v>
      </c>
      <c r="B52" s="46">
        <v>54.25</v>
      </c>
      <c r="C52" s="29"/>
      <c r="D52" s="29"/>
      <c r="E52" s="29">
        <v>8587</v>
      </c>
      <c r="F52" s="29">
        <v>4841</v>
      </c>
      <c r="G52" s="29">
        <v>1203</v>
      </c>
      <c r="H52" s="29"/>
      <c r="I52" s="29">
        <v>2100</v>
      </c>
      <c r="J52" s="29"/>
      <c r="K52" s="29"/>
      <c r="L52" s="29"/>
      <c r="M52" s="29"/>
      <c r="N52" s="29"/>
      <c r="O52" s="29"/>
      <c r="P52" s="29"/>
      <c r="Q52" s="29"/>
      <c r="R52" s="49" t="e">
        <f t="shared" si="1"/>
        <v>#DIV/0!</v>
      </c>
    </row>
    <row r="53" spans="1:18" ht="12.75">
      <c r="A53" s="21" t="s">
        <v>488</v>
      </c>
      <c r="B53" s="46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49"/>
    </row>
    <row r="54" spans="2:18" ht="12.75"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9"/>
    </row>
    <row r="55" spans="1:19" ht="12.75">
      <c r="A55" s="44" t="s">
        <v>72</v>
      </c>
      <c r="B55" s="46">
        <v>57.9</v>
      </c>
      <c r="C55" s="29"/>
      <c r="D55" s="29"/>
      <c r="E55" s="29"/>
      <c r="F55" s="29"/>
      <c r="G55" s="29"/>
      <c r="H55" s="29"/>
      <c r="I55" s="29"/>
      <c r="J55" s="29"/>
      <c r="K55" s="29">
        <v>32208</v>
      </c>
      <c r="L55" s="29">
        <v>5600</v>
      </c>
      <c r="M55" s="29"/>
      <c r="N55" s="29">
        <v>50000</v>
      </c>
      <c r="O55" s="29">
        <v>50000</v>
      </c>
      <c r="P55" s="29">
        <v>50000</v>
      </c>
      <c r="Q55" s="29">
        <v>25000</v>
      </c>
      <c r="R55" s="49">
        <f t="shared" si="1"/>
        <v>-0.5</v>
      </c>
      <c r="S55" s="21" t="s">
        <v>699</v>
      </c>
    </row>
    <row r="56" spans="1:19" ht="12.75">
      <c r="A56" s="21" t="s">
        <v>441</v>
      </c>
      <c r="B56" s="46"/>
      <c r="C56" s="29"/>
      <c r="D56" s="29"/>
      <c r="E56" s="29"/>
      <c r="F56" s="29"/>
      <c r="G56" s="29"/>
      <c r="H56" s="29">
        <v>2500</v>
      </c>
      <c r="I56" s="29"/>
      <c r="J56" s="29">
        <v>1118</v>
      </c>
      <c r="K56" s="29"/>
      <c r="L56" s="29"/>
      <c r="M56" s="29">
        <f>(12/$L$3)*L56</f>
        <v>0</v>
      </c>
      <c r="N56" s="29"/>
      <c r="O56" s="29"/>
      <c r="P56" s="29"/>
      <c r="Q56" s="29"/>
      <c r="R56" s="49"/>
      <c r="S56" s="44"/>
    </row>
    <row r="57" spans="1:18" ht="12.75">
      <c r="A57" s="21" t="s">
        <v>220</v>
      </c>
      <c r="B57" s="46"/>
      <c r="C57" s="51"/>
      <c r="D57" s="23">
        <v>5363</v>
      </c>
      <c r="F57" s="51"/>
      <c r="G57" s="51"/>
      <c r="H57" s="51"/>
      <c r="I57" s="51"/>
      <c r="J57" s="51"/>
      <c r="K57" s="51"/>
      <c r="L57" s="51"/>
      <c r="M57" s="29">
        <f>(12/$L$3)*L57</f>
        <v>0</v>
      </c>
      <c r="N57" s="51"/>
      <c r="O57" s="51"/>
      <c r="P57" s="51"/>
      <c r="Q57" s="51"/>
      <c r="R57" s="49"/>
    </row>
    <row r="58" spans="1:18" ht="12.75">
      <c r="A58" s="44" t="s">
        <v>23</v>
      </c>
      <c r="B58" s="44"/>
      <c r="C58" s="45">
        <v>49231</v>
      </c>
      <c r="D58" s="45">
        <v>69751</v>
      </c>
      <c r="E58" s="45">
        <v>96592</v>
      </c>
      <c r="F58" s="45">
        <v>137104</v>
      </c>
      <c r="G58" s="45">
        <v>155005</v>
      </c>
      <c r="H58" s="45">
        <v>101483</v>
      </c>
      <c r="I58" s="45">
        <v>247308</v>
      </c>
      <c r="J58" s="45">
        <v>121413</v>
      </c>
      <c r="K58" s="45">
        <f aca="true" t="shared" si="2" ref="K58:Q58">SUM(K7:K57)</f>
        <v>146837.96</v>
      </c>
      <c r="L58" s="45">
        <f>SUM(L7:L57)</f>
        <v>50359.85</v>
      </c>
      <c r="M58" s="45">
        <f t="shared" si="2"/>
        <v>84764.92804999999</v>
      </c>
      <c r="N58" s="45">
        <f t="shared" si="2"/>
        <v>153453.25</v>
      </c>
      <c r="O58" s="45">
        <f>SUM(O7:O57)</f>
        <v>148433</v>
      </c>
      <c r="P58" s="45">
        <f t="shared" si="2"/>
        <v>148433.25</v>
      </c>
      <c r="Q58" s="45">
        <f t="shared" si="2"/>
        <v>132868.0875</v>
      </c>
      <c r="R58" s="50">
        <f t="shared" si="1"/>
        <v>-0.13414614874562777</v>
      </c>
    </row>
    <row r="59" spans="1:18" ht="12.75">
      <c r="A59" s="44"/>
      <c r="B59" s="44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41"/>
    </row>
    <row r="60" spans="14:16" ht="12.75">
      <c r="N60" s="21" t="s">
        <v>357</v>
      </c>
      <c r="P60" s="53">
        <f>O58-P58</f>
        <v>-0.25</v>
      </c>
    </row>
    <row r="61" spans="1:16" ht="12.75">
      <c r="A61" s="24"/>
      <c r="E61" s="21">
        <v>74000</v>
      </c>
      <c r="N61" s="21" t="s">
        <v>545</v>
      </c>
      <c r="P61" s="53">
        <f>N58-P58</f>
        <v>5020</v>
      </c>
    </row>
    <row r="62" spans="1:16" ht="12.75">
      <c r="A62" s="24"/>
      <c r="E62" s="21">
        <v>50000</v>
      </c>
      <c r="N62" s="21" t="s">
        <v>307</v>
      </c>
      <c r="P62" s="53">
        <f>P58-Q58</f>
        <v>15565.162500000006</v>
      </c>
    </row>
    <row r="64" ht="12.75">
      <c r="A64" s="21" t="s">
        <v>432</v>
      </c>
    </row>
    <row r="65" spans="1:18" ht="12.75">
      <c r="A65" s="39" t="s">
        <v>665</v>
      </c>
      <c r="B65" s="40">
        <v>33.4212</v>
      </c>
      <c r="C65" s="41">
        <v>12000</v>
      </c>
      <c r="D65" s="41">
        <v>12000</v>
      </c>
      <c r="E65" s="41">
        <v>14745</v>
      </c>
      <c r="F65" s="41"/>
      <c r="G65" s="41"/>
      <c r="H65" s="41" t="s">
        <v>592</v>
      </c>
      <c r="I65" s="41">
        <v>14599</v>
      </c>
      <c r="J65" s="41">
        <v>12398</v>
      </c>
      <c r="K65" s="41">
        <v>2968</v>
      </c>
      <c r="L65" s="21" t="s">
        <v>666</v>
      </c>
      <c r="M65" s="29"/>
      <c r="N65" s="41"/>
      <c r="P65" s="41"/>
      <c r="Q65" s="70"/>
      <c r="R65" s="41"/>
    </row>
    <row r="66" ht="12.75">
      <c r="A66" s="21" t="s">
        <v>577</v>
      </c>
    </row>
    <row r="67" ht="12.75">
      <c r="A67" t="s">
        <v>769</v>
      </c>
    </row>
    <row r="68" ht="12.75">
      <c r="A68" s="21" t="s">
        <v>693</v>
      </c>
    </row>
    <row r="69" ht="12.75">
      <c r="A69" s="21" t="s">
        <v>719</v>
      </c>
    </row>
    <row r="98" spans="3:18" ht="12.7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3:18" ht="12.7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3:18" ht="12.7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3:18" ht="12.7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3:18" ht="12.7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3:18" ht="12.7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</sheetData>
  <printOptions gridLines="1"/>
  <pageMargins left="0.25" right="0.25" top="1" bottom="0.55" header="0.5" footer="0.25"/>
  <pageSetup fitToHeight="1" fitToWidth="1" horizontalDpi="300" verticalDpi="300" orientation="landscape" scale="60" r:id="rId3"/>
  <headerFooter alignWithMargins="0">
    <oddFooter>&amp;L&amp;F
&amp;A&amp;CPage &amp;P of &amp;N&amp;R&amp;D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S15"/>
  <sheetViews>
    <sheetView workbookViewId="0" topLeftCell="A1">
      <selection activeCell="O160" sqref="O160"/>
    </sheetView>
  </sheetViews>
  <sheetFormatPr defaultColWidth="9.140625" defaultRowHeight="12.75"/>
  <cols>
    <col min="1" max="1" width="27.140625" style="31" bestFit="1" customWidth="1"/>
    <col min="2" max="2" width="8.8515625" style="31" customWidth="1"/>
    <col min="3" max="3" width="8.7109375" style="31" hidden="1" customWidth="1"/>
    <col min="4" max="4" width="6.28125" style="31" hidden="1" customWidth="1"/>
    <col min="5" max="5" width="6.57421875" style="31" customWidth="1"/>
    <col min="6" max="8" width="6.28125" style="31" bestFit="1" customWidth="1"/>
    <col min="9" max="9" width="8.7109375" style="31" customWidth="1"/>
    <col min="10" max="10" width="6.8515625" style="31" bestFit="1" customWidth="1"/>
    <col min="11" max="11" width="7.8515625" style="31" bestFit="1" customWidth="1"/>
    <col min="12" max="12" width="6.8515625" style="31" bestFit="1" customWidth="1"/>
    <col min="13" max="13" width="8.57421875" style="31" bestFit="1" customWidth="1"/>
    <col min="14" max="14" width="8.00390625" style="31" bestFit="1" customWidth="1"/>
    <col min="15" max="16384" width="8.7109375" style="31" customWidth="1"/>
  </cols>
  <sheetData>
    <row r="1" spans="1:16" ht="12.75">
      <c r="A1" s="86" t="s">
        <v>657</v>
      </c>
      <c r="B1" s="10"/>
      <c r="C1" s="10"/>
      <c r="D1" s="10"/>
      <c r="E1" s="69"/>
      <c r="F1" s="69"/>
      <c r="G1" s="69"/>
      <c r="H1" s="87">
        <v>6</v>
      </c>
      <c r="I1" s="10"/>
      <c r="J1" s="10"/>
      <c r="K1" s="10"/>
      <c r="L1" s="10"/>
      <c r="M1" s="10"/>
      <c r="N1" s="69" t="s">
        <v>234</v>
      </c>
      <c r="O1" s="10"/>
      <c r="P1" s="10"/>
    </row>
    <row r="2" spans="1:16" ht="12.75">
      <c r="A2" s="10"/>
      <c r="B2" s="10"/>
      <c r="C2" s="10"/>
      <c r="D2" s="10"/>
      <c r="E2" s="69"/>
      <c r="F2" s="69"/>
      <c r="G2" s="69"/>
      <c r="H2" s="69" t="s">
        <v>305</v>
      </c>
      <c r="I2" s="10"/>
      <c r="J2" s="69"/>
      <c r="K2" s="69" t="s">
        <v>300</v>
      </c>
      <c r="L2" s="69" t="s">
        <v>302</v>
      </c>
      <c r="M2" s="69" t="s">
        <v>303</v>
      </c>
      <c r="N2" s="69" t="s">
        <v>297</v>
      </c>
      <c r="O2" s="10"/>
      <c r="P2" s="10"/>
    </row>
    <row r="3" spans="1:16" ht="12.75">
      <c r="A3" s="10"/>
      <c r="B3" s="10"/>
      <c r="C3" s="69" t="s">
        <v>296</v>
      </c>
      <c r="D3" s="69" t="s">
        <v>296</v>
      </c>
      <c r="E3" s="69" t="s">
        <v>296</v>
      </c>
      <c r="F3" s="69" t="s">
        <v>296</v>
      </c>
      <c r="G3" s="69" t="s">
        <v>296</v>
      </c>
      <c r="H3" s="69" t="s">
        <v>296</v>
      </c>
      <c r="I3" s="69" t="s">
        <v>306</v>
      </c>
      <c r="J3" s="69" t="s">
        <v>234</v>
      </c>
      <c r="K3" s="69" t="s">
        <v>301</v>
      </c>
      <c r="L3" s="69" t="s">
        <v>496</v>
      </c>
      <c r="M3" s="69" t="s">
        <v>295</v>
      </c>
      <c r="N3" s="69" t="s">
        <v>298</v>
      </c>
      <c r="O3" s="10"/>
      <c r="P3" s="10"/>
    </row>
    <row r="4" spans="1:16" ht="12.75">
      <c r="A4" s="10" t="s">
        <v>25</v>
      </c>
      <c r="B4" s="10"/>
      <c r="C4" s="88">
        <v>2003</v>
      </c>
      <c r="D4" s="88">
        <v>2004</v>
      </c>
      <c r="E4" s="88">
        <v>2005</v>
      </c>
      <c r="F4" s="88">
        <v>2006</v>
      </c>
      <c r="G4" s="88">
        <v>2007</v>
      </c>
      <c r="H4" s="88">
        <v>2008</v>
      </c>
      <c r="I4" s="88">
        <v>2008</v>
      </c>
      <c r="J4" s="88">
        <v>2008</v>
      </c>
      <c r="K4" s="88">
        <v>2009</v>
      </c>
      <c r="L4" s="88">
        <v>2009</v>
      </c>
      <c r="M4" s="88">
        <v>2009</v>
      </c>
      <c r="N4" s="88" t="s">
        <v>650</v>
      </c>
      <c r="O4" s="88" t="s">
        <v>22</v>
      </c>
      <c r="P4" s="10"/>
    </row>
    <row r="5" spans="1:16" ht="12.75">
      <c r="A5" s="10" t="s">
        <v>659</v>
      </c>
      <c r="B5" s="10"/>
      <c r="C5" s="10">
        <v>2241</v>
      </c>
      <c r="D5" s="10">
        <v>1140</v>
      </c>
      <c r="E5" s="10">
        <v>104</v>
      </c>
      <c r="F5" s="10">
        <v>1153</v>
      </c>
      <c r="G5" s="10">
        <v>405</v>
      </c>
      <c r="H5" s="10"/>
      <c r="I5" s="10">
        <v>1000</v>
      </c>
      <c r="J5" s="10"/>
      <c r="K5" s="10">
        <v>1000</v>
      </c>
      <c r="L5" s="10">
        <v>1000</v>
      </c>
      <c r="M5" s="10">
        <v>1000</v>
      </c>
      <c r="N5" s="10"/>
      <c r="O5" s="10"/>
      <c r="P5" s="10"/>
    </row>
    <row r="6" spans="1:16" ht="12.75">
      <c r="A6" s="10" t="s">
        <v>445</v>
      </c>
      <c r="B6" s="89">
        <v>52.1309</v>
      </c>
      <c r="C6" s="89"/>
      <c r="D6" s="90">
        <v>350</v>
      </c>
      <c r="E6" s="91">
        <v>350</v>
      </c>
      <c r="F6" s="91">
        <v>350</v>
      </c>
      <c r="G6" s="91">
        <v>400</v>
      </c>
      <c r="H6" s="91">
        <v>400</v>
      </c>
      <c r="I6" s="91">
        <v>400</v>
      </c>
      <c r="J6" s="91">
        <v>400</v>
      </c>
      <c r="K6" s="91">
        <v>400</v>
      </c>
      <c r="L6" s="91">
        <v>400</v>
      </c>
      <c r="M6" s="91">
        <v>400</v>
      </c>
      <c r="N6" s="92"/>
      <c r="O6" s="10" t="s">
        <v>656</v>
      </c>
      <c r="P6" s="10"/>
    </row>
    <row r="7" spans="1:16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>
      <c r="A8" s="10" t="s">
        <v>658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9" ht="12.75">
      <c r="A10" s="86" t="s">
        <v>23</v>
      </c>
      <c r="B10" s="86"/>
      <c r="C10" s="93">
        <f>SUM(C5:C9)</f>
        <v>2241</v>
      </c>
      <c r="D10" s="93">
        <f aca="true" t="shared" si="0" ref="D10:N10">SUM(D5:D9)</f>
        <v>1490</v>
      </c>
      <c r="E10" s="93">
        <f t="shared" si="0"/>
        <v>454</v>
      </c>
      <c r="F10" s="93">
        <f t="shared" si="0"/>
        <v>1503</v>
      </c>
      <c r="G10" s="93">
        <f t="shared" si="0"/>
        <v>805</v>
      </c>
      <c r="H10" s="93">
        <f t="shared" si="0"/>
        <v>400</v>
      </c>
      <c r="I10" s="93">
        <f t="shared" si="0"/>
        <v>1400</v>
      </c>
      <c r="J10" s="93">
        <f t="shared" si="0"/>
        <v>400</v>
      </c>
      <c r="K10" s="93">
        <f t="shared" si="0"/>
        <v>1400</v>
      </c>
      <c r="L10" s="93">
        <f t="shared" si="0"/>
        <v>1400</v>
      </c>
      <c r="M10" s="93">
        <f t="shared" si="0"/>
        <v>1400</v>
      </c>
      <c r="N10" s="93">
        <f t="shared" si="0"/>
        <v>0</v>
      </c>
      <c r="O10" s="10"/>
      <c r="P10" s="10"/>
      <c r="Q10" s="85"/>
      <c r="S10" s="31" t="s">
        <v>489</v>
      </c>
    </row>
    <row r="11" spans="1:18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85"/>
    </row>
    <row r="12" spans="1:18" ht="12.75">
      <c r="A12" s="10"/>
      <c r="B12" s="10"/>
      <c r="C12" s="10"/>
      <c r="D12" s="10"/>
      <c r="E12" s="10"/>
      <c r="F12" s="10"/>
      <c r="G12" s="10"/>
      <c r="H12" s="10"/>
      <c r="I12" s="10" t="s">
        <v>357</v>
      </c>
      <c r="J12" s="10"/>
      <c r="K12" s="10"/>
      <c r="L12" s="94"/>
      <c r="M12" s="10"/>
      <c r="N12" s="10"/>
      <c r="O12" s="10"/>
      <c r="P12" s="10"/>
      <c r="R12" s="85"/>
    </row>
    <row r="13" spans="1:18" ht="12.75">
      <c r="A13" s="10"/>
      <c r="B13" s="10"/>
      <c r="C13" s="10"/>
      <c r="D13" s="10"/>
      <c r="E13" s="10"/>
      <c r="F13" s="10"/>
      <c r="G13" s="10"/>
      <c r="H13" s="10"/>
      <c r="I13" s="10" t="s">
        <v>545</v>
      </c>
      <c r="J13" s="10"/>
      <c r="K13" s="10"/>
      <c r="L13" s="94"/>
      <c r="M13" s="10"/>
      <c r="N13" s="10"/>
      <c r="O13" s="10"/>
      <c r="P13" s="10"/>
      <c r="R13" s="85"/>
    </row>
    <row r="14" spans="1:18" ht="12.75">
      <c r="A14" s="10"/>
      <c r="B14" s="10"/>
      <c r="C14" s="10"/>
      <c r="D14" s="10"/>
      <c r="E14" s="10"/>
      <c r="F14" s="10"/>
      <c r="G14" s="10"/>
      <c r="H14" s="10"/>
      <c r="I14" s="10" t="s">
        <v>307</v>
      </c>
      <c r="J14" s="10"/>
      <c r="K14" s="10"/>
      <c r="L14" s="94"/>
      <c r="M14" s="10"/>
      <c r="N14" s="10"/>
      <c r="O14" s="10"/>
      <c r="P14" s="10"/>
      <c r="R14" s="85"/>
    </row>
    <row r="15" spans="1:18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85"/>
    </row>
  </sheetData>
  <printOptions gridLines="1"/>
  <pageMargins left="0.25" right="0.25" top="1" bottom="0.55" header="0.5" footer="0.25"/>
  <pageSetup fitToHeight="1" fitToWidth="1" horizontalDpi="600" verticalDpi="600" orientation="landscape" scale="90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T76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8515625" style="0" hidden="1" customWidth="1"/>
    <col min="4" max="7" width="8.00390625" style="0" hidden="1" customWidth="1"/>
    <col min="8" max="11" width="8.00390625" style="0" customWidth="1"/>
    <col min="13" max="13" width="7.57421875" style="0" bestFit="1" customWidth="1"/>
    <col min="14" max="14" width="11.00390625" style="0" bestFit="1" customWidth="1"/>
    <col min="16" max="16" width="10.7109375" style="0" bestFit="1" customWidth="1"/>
    <col min="17" max="17" width="11.71093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332</v>
      </c>
      <c r="L3" s="54">
        <v>6</v>
      </c>
      <c r="M3" s="9"/>
      <c r="R3" s="1" t="s">
        <v>309</v>
      </c>
    </row>
    <row r="4" spans="2:18" ht="12.75">
      <c r="B4" s="38"/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8" ht="12.75">
      <c r="A7" t="s">
        <v>107</v>
      </c>
      <c r="B7" s="4">
        <v>51.21</v>
      </c>
      <c r="C7" s="2">
        <v>7786</v>
      </c>
      <c r="D7" s="2">
        <v>7017</v>
      </c>
      <c r="E7" s="2">
        <v>4238</v>
      </c>
      <c r="F7" s="2">
        <v>8285</v>
      </c>
      <c r="G7" s="2">
        <v>14467</v>
      </c>
      <c r="H7" s="2">
        <v>14570</v>
      </c>
      <c r="I7" s="2">
        <v>3147</v>
      </c>
      <c r="J7" s="2"/>
      <c r="K7" s="2"/>
      <c r="L7" s="2"/>
      <c r="M7" s="2"/>
      <c r="N7" s="2"/>
      <c r="O7" s="2"/>
      <c r="P7" s="2"/>
      <c r="Q7" s="2"/>
      <c r="R7" s="64" t="e">
        <f>(Q7-N7)/N7</f>
        <v>#DIV/0!</v>
      </c>
    </row>
    <row r="8" spans="1:19" ht="12.75">
      <c r="A8" t="s">
        <v>112</v>
      </c>
      <c r="B8" s="4">
        <v>57.1</v>
      </c>
      <c r="C8" s="2">
        <v>35445</v>
      </c>
      <c r="D8" s="2">
        <v>37063</v>
      </c>
      <c r="E8" s="2">
        <v>39655</v>
      </c>
      <c r="F8" s="2">
        <v>49501</v>
      </c>
      <c r="G8" s="2">
        <v>37507</v>
      </c>
      <c r="H8" s="2">
        <v>36444</v>
      </c>
      <c r="I8" s="2">
        <v>47043</v>
      </c>
      <c r="J8" s="2">
        <v>36375</v>
      </c>
      <c r="K8" s="2">
        <v>48250</v>
      </c>
      <c r="L8" s="2">
        <v>27364</v>
      </c>
      <c r="M8" s="2">
        <v>54728</v>
      </c>
      <c r="N8" s="2">
        <v>54728</v>
      </c>
      <c r="O8" s="2">
        <v>54728</v>
      </c>
      <c r="P8" s="2">
        <v>54728</v>
      </c>
      <c r="Q8" s="2">
        <v>58416</v>
      </c>
      <c r="R8" s="64">
        <f>(Q8-N8)/N8</f>
        <v>0.06738780879988306</v>
      </c>
      <c r="S8" t="s">
        <v>256</v>
      </c>
    </row>
    <row r="9" spans="1:18" ht="12.75">
      <c r="A9" t="s">
        <v>715</v>
      </c>
      <c r="B9" s="4"/>
      <c r="C9" s="5"/>
      <c r="D9" s="5"/>
      <c r="E9" s="5"/>
      <c r="F9" s="5"/>
      <c r="G9" s="5"/>
      <c r="H9" s="5"/>
      <c r="I9" s="5"/>
      <c r="J9" s="5"/>
      <c r="K9" s="5"/>
      <c r="L9" s="2">
        <v>12063</v>
      </c>
      <c r="M9" s="2">
        <v>12063</v>
      </c>
      <c r="N9" s="2">
        <v>12062.5</v>
      </c>
      <c r="O9" s="5"/>
      <c r="P9" s="5"/>
      <c r="Q9" s="5"/>
      <c r="R9" s="49"/>
    </row>
    <row r="10" spans="2:18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9"/>
    </row>
    <row r="11" spans="1:18" ht="12.75">
      <c r="A11" s="6" t="s">
        <v>23</v>
      </c>
      <c r="B11" s="6"/>
      <c r="C11" s="7">
        <f>SUM(C7:C8)</f>
        <v>43231</v>
      </c>
      <c r="D11" s="8">
        <f>SUM(D7:D8)</f>
        <v>44080</v>
      </c>
      <c r="E11" s="8">
        <f>SUM(E7:E10)</f>
        <v>43893</v>
      </c>
      <c r="F11" s="8">
        <f>SUM(F7:F10)</f>
        <v>57786</v>
      </c>
      <c r="G11" s="8">
        <f>SUM(G7:G10)</f>
        <v>51974</v>
      </c>
      <c r="H11" s="8">
        <f>SUM(H7:H10)</f>
        <v>51014</v>
      </c>
      <c r="I11" s="8">
        <f>SUM(I7:I10)</f>
        <v>50190</v>
      </c>
      <c r="J11" s="8">
        <v>36375</v>
      </c>
      <c r="K11" s="8">
        <v>48250</v>
      </c>
      <c r="L11" s="8">
        <f aca="true" t="shared" si="0" ref="L11:Q11">SUM(L7:L10)</f>
        <v>39427</v>
      </c>
      <c r="M11" s="8">
        <f t="shared" si="0"/>
        <v>66791</v>
      </c>
      <c r="N11" s="8">
        <f t="shared" si="0"/>
        <v>66790.5</v>
      </c>
      <c r="O11" s="8">
        <f t="shared" si="0"/>
        <v>54728</v>
      </c>
      <c r="P11" s="8">
        <f t="shared" si="0"/>
        <v>54728</v>
      </c>
      <c r="Q11" s="8">
        <f t="shared" si="0"/>
        <v>58416</v>
      </c>
      <c r="R11" s="50">
        <f>(Q11-N11)/N11</f>
        <v>-0.1253845981090125</v>
      </c>
    </row>
    <row r="12" ht="12.75">
      <c r="R12" s="49"/>
    </row>
    <row r="13" spans="14:18" ht="12.75">
      <c r="N13" s="21" t="s">
        <v>357</v>
      </c>
      <c r="O13" s="21"/>
      <c r="P13" s="53">
        <f>O11-P11</f>
        <v>0</v>
      </c>
      <c r="R13" s="49"/>
    </row>
    <row r="14" spans="14:18" ht="12.75">
      <c r="N14" s="21" t="s">
        <v>545</v>
      </c>
      <c r="O14" s="21"/>
      <c r="P14" s="53">
        <f>N11-P11</f>
        <v>12062.5</v>
      </c>
      <c r="R14" s="49"/>
    </row>
    <row r="15" spans="14:18" ht="12.75">
      <c r="N15" s="21" t="s">
        <v>307</v>
      </c>
      <c r="O15" s="21"/>
      <c r="P15" s="53">
        <f>P11-Q11</f>
        <v>-3688</v>
      </c>
      <c r="R15" s="49"/>
    </row>
    <row r="16" spans="1:18" ht="12.75">
      <c r="A16" s="31" t="s">
        <v>736</v>
      </c>
      <c r="R16" s="49"/>
    </row>
    <row r="17" spans="1:18" ht="12.75">
      <c r="A17" s="31"/>
      <c r="R17" s="49"/>
    </row>
    <row r="18" ht="12.75">
      <c r="R18" s="49"/>
    </row>
    <row r="19" spans="18:20" ht="12.75">
      <c r="R19" s="49"/>
      <c r="T19" t="s">
        <v>489</v>
      </c>
    </row>
    <row r="20" spans="17:18" ht="12.75">
      <c r="Q20" s="2"/>
      <c r="R20" s="49"/>
    </row>
    <row r="21" ht="12.75">
      <c r="R21" s="49"/>
    </row>
    <row r="22" ht="12.75">
      <c r="R22" s="49"/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56" ht="12.75">
      <c r="P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</row>
    <row r="71" ht="12.75">
      <c r="R71" s="2"/>
    </row>
    <row r="72" ht="12.75">
      <c r="R72" s="2"/>
    </row>
    <row r="73" ht="12.75">
      <c r="R73" s="2"/>
    </row>
    <row r="74" ht="12.75">
      <c r="R74" s="2"/>
    </row>
    <row r="75" ht="12.75">
      <c r="R75" s="2"/>
    </row>
    <row r="76" ht="12.75">
      <c r="R76" s="2"/>
    </row>
  </sheetData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T80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8.00390625" style="0" customWidth="1"/>
    <col min="3" max="3" width="11.7109375" style="0" hidden="1" customWidth="1"/>
    <col min="4" max="4" width="0.13671875" style="0" hidden="1" customWidth="1"/>
    <col min="5" max="5" width="0.2890625" style="0" hidden="1" customWidth="1"/>
    <col min="6" max="6" width="6.421875" style="0" hidden="1" customWidth="1"/>
    <col min="7" max="7" width="7.57421875" style="0" hidden="1" customWidth="1"/>
    <col min="8" max="8" width="6.421875" style="0" hidden="1" customWidth="1"/>
    <col min="9" max="10" width="6.421875" style="0" customWidth="1"/>
    <col min="11" max="11" width="7.7109375" style="0" customWidth="1"/>
    <col min="12" max="12" width="6.8515625" style="0" bestFit="1" customWidth="1"/>
    <col min="13" max="13" width="7.140625" style="0" bestFit="1" customWidth="1"/>
    <col min="14" max="14" width="8.57421875" style="0" customWidth="1"/>
    <col min="15" max="15" width="11.140625" style="0" customWidth="1"/>
    <col min="16" max="16" width="11.00390625" style="0" bestFit="1" customWidth="1"/>
    <col min="17" max="17" width="8.710937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333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8" ht="12.75">
      <c r="A7" s="21" t="s">
        <v>491</v>
      </c>
      <c r="B7" s="4">
        <v>51.11</v>
      </c>
      <c r="C7" s="2">
        <v>428</v>
      </c>
      <c r="D7" s="2">
        <v>671</v>
      </c>
      <c r="E7" s="2"/>
      <c r="F7" s="2"/>
      <c r="G7" s="2">
        <v>3261</v>
      </c>
      <c r="H7" s="2">
        <v>496</v>
      </c>
      <c r="I7" s="2">
        <v>312</v>
      </c>
      <c r="J7" s="2">
        <v>1336</v>
      </c>
      <c r="K7" s="2">
        <v>5249</v>
      </c>
      <c r="L7" s="2">
        <v>2409</v>
      </c>
      <c r="M7" s="2">
        <f>+L7/$L$3*12</f>
        <v>4818</v>
      </c>
      <c r="N7" s="2">
        <v>1400</v>
      </c>
      <c r="O7" s="2">
        <v>1400</v>
      </c>
      <c r="P7" s="2">
        <v>1400</v>
      </c>
      <c r="Q7" s="2">
        <f>P7*0.95</f>
        <v>1330</v>
      </c>
      <c r="R7" s="64">
        <f>(Q7-N7)/N7</f>
        <v>-0.05</v>
      </c>
    </row>
    <row r="8" spans="1:18" ht="12.75" hidden="1">
      <c r="A8" t="s">
        <v>43</v>
      </c>
      <c r="B8" s="4">
        <v>51.13</v>
      </c>
      <c r="C8" s="2"/>
      <c r="D8" s="2"/>
      <c r="E8" s="2"/>
      <c r="F8" s="2"/>
      <c r="G8" s="2">
        <v>902</v>
      </c>
      <c r="H8" s="2"/>
      <c r="I8" s="2"/>
      <c r="J8" s="2"/>
      <c r="K8" s="2"/>
      <c r="L8" s="2"/>
      <c r="M8" s="2">
        <f aca="true" t="shared" si="0" ref="M8:M15">+L8/$L$3*12</f>
        <v>0</v>
      </c>
      <c r="N8" s="2"/>
      <c r="O8" s="2"/>
      <c r="P8" s="2"/>
      <c r="Q8" s="2"/>
      <c r="R8" s="64"/>
    </row>
    <row r="9" spans="1:18" ht="12.75">
      <c r="A9" t="s">
        <v>30</v>
      </c>
      <c r="B9" s="4">
        <v>51.22</v>
      </c>
      <c r="C9" s="2">
        <v>32</v>
      </c>
      <c r="D9" s="2">
        <v>51</v>
      </c>
      <c r="E9" s="2"/>
      <c r="F9" s="2"/>
      <c r="G9" s="2">
        <v>318</v>
      </c>
      <c r="H9" s="2">
        <v>38</v>
      </c>
      <c r="I9" s="2"/>
      <c r="J9" s="2">
        <v>102</v>
      </c>
      <c r="K9" s="2">
        <v>402</v>
      </c>
      <c r="L9" s="2">
        <v>184</v>
      </c>
      <c r="M9" s="2">
        <f t="shared" si="0"/>
        <v>368</v>
      </c>
      <c r="N9" s="2">
        <v>374.85</v>
      </c>
      <c r="O9" s="2">
        <v>375</v>
      </c>
      <c r="P9" s="2">
        <f>(P7+P13)*0.0765</f>
        <v>374.84999999999997</v>
      </c>
      <c r="Q9" s="2">
        <f>(Q7+Q13)*0.0765</f>
        <v>356.1075</v>
      </c>
      <c r="R9" s="64">
        <f>(Q9-N9)/N9</f>
        <v>-0.05000000000000002</v>
      </c>
    </row>
    <row r="10" spans="1:18" ht="12.75">
      <c r="A10" t="s">
        <v>32</v>
      </c>
      <c r="B10" s="4"/>
      <c r="C10" s="2"/>
      <c r="D10" s="2"/>
      <c r="E10" s="2"/>
      <c r="F10" s="2"/>
      <c r="G10" s="2">
        <v>35</v>
      </c>
      <c r="H10" s="2">
        <v>43</v>
      </c>
      <c r="I10" s="2"/>
      <c r="J10" s="2">
        <v>56</v>
      </c>
      <c r="K10" s="2">
        <v>196</v>
      </c>
      <c r="L10" s="2">
        <v>140</v>
      </c>
      <c r="M10" s="2">
        <f t="shared" si="0"/>
        <v>280</v>
      </c>
      <c r="N10" s="2">
        <v>50</v>
      </c>
      <c r="O10" s="2">
        <v>50</v>
      </c>
      <c r="P10" s="2">
        <v>50</v>
      </c>
      <c r="Q10" s="2">
        <f aca="true" t="shared" si="1" ref="Q10:Q15">P10*0.95</f>
        <v>47.5</v>
      </c>
      <c r="R10" s="64"/>
    </row>
    <row r="11" spans="1:18" ht="12.75">
      <c r="A11" t="s">
        <v>33</v>
      </c>
      <c r="B11" s="4">
        <v>52.321</v>
      </c>
      <c r="C11" s="2">
        <v>9</v>
      </c>
      <c r="D11" s="2">
        <v>284</v>
      </c>
      <c r="E11" s="2">
        <v>70</v>
      </c>
      <c r="F11" s="2">
        <v>100</v>
      </c>
      <c r="G11" s="2">
        <v>2849</v>
      </c>
      <c r="H11" s="2">
        <v>230</v>
      </c>
      <c r="I11" s="2">
        <v>583</v>
      </c>
      <c r="J11" s="2">
        <v>394</v>
      </c>
      <c r="K11" s="2">
        <v>1804</v>
      </c>
      <c r="L11" s="2">
        <v>905</v>
      </c>
      <c r="M11" s="2">
        <f t="shared" si="0"/>
        <v>1810</v>
      </c>
      <c r="N11" s="2">
        <v>500</v>
      </c>
      <c r="O11" s="2">
        <v>500</v>
      </c>
      <c r="P11" s="2">
        <v>500</v>
      </c>
      <c r="Q11" s="2">
        <f t="shared" si="1"/>
        <v>475</v>
      </c>
      <c r="R11" s="64">
        <f>(Q11-N11)/N11</f>
        <v>-0.05</v>
      </c>
    </row>
    <row r="12" spans="1:18" ht="12.75">
      <c r="A12" t="s">
        <v>45</v>
      </c>
      <c r="B12" s="4">
        <v>52.35</v>
      </c>
      <c r="C12" s="2">
        <v>1730</v>
      </c>
      <c r="D12" s="2">
        <v>2964</v>
      </c>
      <c r="E12" s="2">
        <v>377</v>
      </c>
      <c r="F12" s="2">
        <v>1227</v>
      </c>
      <c r="G12" s="2">
        <v>1918</v>
      </c>
      <c r="H12" s="2">
        <v>2765</v>
      </c>
      <c r="I12" s="2">
        <v>1530</v>
      </c>
      <c r="J12" s="2">
        <v>2835</v>
      </c>
      <c r="K12" s="2">
        <v>1960</v>
      </c>
      <c r="L12" s="2">
        <v>767</v>
      </c>
      <c r="M12" s="2">
        <f t="shared" si="0"/>
        <v>1534</v>
      </c>
      <c r="N12" s="2">
        <v>2000</v>
      </c>
      <c r="O12" s="2">
        <v>1500</v>
      </c>
      <c r="P12" s="2">
        <v>1500</v>
      </c>
      <c r="Q12" s="2">
        <f t="shared" si="1"/>
        <v>1425</v>
      </c>
      <c r="R12" s="64">
        <f>(Q12-N12)/N12</f>
        <v>-0.2875</v>
      </c>
    </row>
    <row r="13" spans="1:19" ht="12.75">
      <c r="A13" t="s">
        <v>452</v>
      </c>
      <c r="B13" s="4">
        <v>52.362</v>
      </c>
      <c r="C13" s="2"/>
      <c r="D13" s="2"/>
      <c r="E13" s="2"/>
      <c r="F13" s="2">
        <v>1532</v>
      </c>
      <c r="G13" s="2">
        <v>9071</v>
      </c>
      <c r="H13" s="2">
        <v>3233</v>
      </c>
      <c r="I13" s="2">
        <v>24</v>
      </c>
      <c r="J13" s="2">
        <v>2500</v>
      </c>
      <c r="K13" s="2">
        <v>6350</v>
      </c>
      <c r="L13" s="2">
        <v>1700</v>
      </c>
      <c r="M13" s="2">
        <f t="shared" si="0"/>
        <v>3400</v>
      </c>
      <c r="N13" s="2">
        <v>3500</v>
      </c>
      <c r="O13" s="2">
        <v>3500</v>
      </c>
      <c r="P13" s="2">
        <v>3500</v>
      </c>
      <c r="Q13" s="2">
        <f t="shared" si="1"/>
        <v>3325</v>
      </c>
      <c r="R13" s="64"/>
      <c r="S13" t="s">
        <v>256</v>
      </c>
    </row>
    <row r="14" spans="1:18" ht="12.75">
      <c r="A14" t="s">
        <v>395</v>
      </c>
      <c r="B14" s="4"/>
      <c r="C14" s="2"/>
      <c r="D14" s="2"/>
      <c r="E14" s="2"/>
      <c r="F14" s="2"/>
      <c r="G14" s="2">
        <v>60</v>
      </c>
      <c r="H14" s="2">
        <v>240</v>
      </c>
      <c r="I14" s="2"/>
      <c r="J14" s="2">
        <v>285</v>
      </c>
      <c r="K14" s="2">
        <v>298</v>
      </c>
      <c r="L14" s="2">
        <v>75</v>
      </c>
      <c r="M14" s="2">
        <f t="shared" si="0"/>
        <v>150</v>
      </c>
      <c r="N14" s="2">
        <v>200</v>
      </c>
      <c r="O14" s="2">
        <v>200</v>
      </c>
      <c r="P14" s="2">
        <v>200</v>
      </c>
      <c r="Q14" s="2">
        <f t="shared" si="1"/>
        <v>190</v>
      </c>
      <c r="R14" s="64"/>
    </row>
    <row r="15" spans="1:18" ht="12.75">
      <c r="A15" t="s">
        <v>40</v>
      </c>
      <c r="B15" s="4">
        <v>53.171</v>
      </c>
      <c r="C15" s="2">
        <v>14</v>
      </c>
      <c r="D15" s="2">
        <v>107</v>
      </c>
      <c r="E15" s="2"/>
      <c r="F15" s="2">
        <v>15</v>
      </c>
      <c r="G15" s="2">
        <v>380</v>
      </c>
      <c r="H15" s="2">
        <v>50</v>
      </c>
      <c r="I15" s="2">
        <v>12</v>
      </c>
      <c r="J15" s="2">
        <v>27</v>
      </c>
      <c r="K15" s="2">
        <v>48</v>
      </c>
      <c r="L15" s="2">
        <v>23</v>
      </c>
      <c r="M15" s="2">
        <f t="shared" si="0"/>
        <v>46</v>
      </c>
      <c r="N15" s="2">
        <v>50</v>
      </c>
      <c r="O15" s="2">
        <v>50</v>
      </c>
      <c r="P15" s="2">
        <v>50</v>
      </c>
      <c r="Q15" s="2">
        <f t="shared" si="1"/>
        <v>47.5</v>
      </c>
      <c r="R15" s="64">
        <f>(Q15-N15)/N15</f>
        <v>-0.05</v>
      </c>
    </row>
    <row r="16" spans="2:18" ht="12.7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9"/>
    </row>
    <row r="17" spans="1:18" ht="12.75">
      <c r="A17" s="6" t="s">
        <v>23</v>
      </c>
      <c r="B17" s="6"/>
      <c r="C17" s="7">
        <f>SUM(C7:C15)</f>
        <v>2213</v>
      </c>
      <c r="D17" s="8">
        <f>SUM(D7:D15)</f>
        <v>4077</v>
      </c>
      <c r="E17" s="8">
        <f>SUM(E7:E16)</f>
        <v>447</v>
      </c>
      <c r="F17" s="8">
        <f>SUM(F7:F16)</f>
        <v>2874</v>
      </c>
      <c r="G17" s="8">
        <f>SUM(G7:G16)</f>
        <v>18794</v>
      </c>
      <c r="H17" s="8">
        <f>SUM(H7:H16)</f>
        <v>7095</v>
      </c>
      <c r="I17" s="8">
        <f>SUM(I7:I16)</f>
        <v>2461</v>
      </c>
      <c r="J17" s="8">
        <v>7550</v>
      </c>
      <c r="K17" s="8">
        <f aca="true" t="shared" si="2" ref="K17:Q17">SUM(K7:K16)</f>
        <v>16307</v>
      </c>
      <c r="L17" s="8">
        <f t="shared" si="2"/>
        <v>6203</v>
      </c>
      <c r="M17" s="8">
        <f t="shared" si="2"/>
        <v>12406</v>
      </c>
      <c r="N17" s="8">
        <f t="shared" si="2"/>
        <v>8074.85</v>
      </c>
      <c r="O17" s="8">
        <f t="shared" si="2"/>
        <v>7575</v>
      </c>
      <c r="P17" s="8">
        <f t="shared" si="2"/>
        <v>7574.85</v>
      </c>
      <c r="Q17" s="8">
        <f t="shared" si="2"/>
        <v>7196.1075</v>
      </c>
      <c r="R17" s="68">
        <f>(Q17-N17)/N17</f>
        <v>-0.10882462212920367</v>
      </c>
    </row>
    <row r="18" ht="12.75">
      <c r="R18" s="49"/>
    </row>
    <row r="19" spans="15:18" ht="12.75">
      <c r="O19" s="78" t="s">
        <v>357</v>
      </c>
      <c r="P19" s="53">
        <f>O17-P17</f>
        <v>0.1499999999996362</v>
      </c>
      <c r="R19" s="49"/>
    </row>
    <row r="20" spans="15:20" ht="12.75">
      <c r="O20" s="78" t="s">
        <v>545</v>
      </c>
      <c r="P20" s="53">
        <f>N17-P17</f>
        <v>500</v>
      </c>
      <c r="R20" s="49"/>
      <c r="T20" t="s">
        <v>489</v>
      </c>
    </row>
    <row r="21" spans="15:18" ht="12.75">
      <c r="O21" s="78" t="s">
        <v>307</v>
      </c>
      <c r="P21" s="53">
        <f>P17-Q17</f>
        <v>378.7425000000003</v>
      </c>
      <c r="R21" s="49"/>
    </row>
    <row r="22" ht="12.75">
      <c r="R22" s="49"/>
    </row>
    <row r="23" ht="12.75">
      <c r="R23" s="49"/>
    </row>
    <row r="24" spans="1:18" ht="12.75">
      <c r="A24" t="s">
        <v>377</v>
      </c>
      <c r="B24" t="s">
        <v>453</v>
      </c>
      <c r="R24" s="49"/>
    </row>
    <row r="25" ht="12.75">
      <c r="R25" s="49"/>
    </row>
    <row r="26" ht="12.75">
      <c r="R26" s="49"/>
    </row>
    <row r="27" spans="1:18" ht="12.75">
      <c r="A27" s="6" t="s">
        <v>560</v>
      </c>
      <c r="R27" s="49"/>
    </row>
    <row r="28" spans="1:18" ht="12.75">
      <c r="A28" s="6"/>
      <c r="R28" s="49"/>
    </row>
    <row r="29" ht="12.75">
      <c r="R29" s="49"/>
    </row>
    <row r="30" ht="12.75">
      <c r="R30" s="49"/>
    </row>
    <row r="31" ht="12.75">
      <c r="R31" s="49"/>
    </row>
    <row r="32" ht="12.75">
      <c r="R32" s="49"/>
    </row>
    <row r="64" spans="3:1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5" ht="12.75">
      <c r="R75" s="2"/>
    </row>
    <row r="76" ht="12.75">
      <c r="R76" s="2"/>
    </row>
    <row r="77" ht="12.75">
      <c r="R77" s="2"/>
    </row>
    <row r="78" ht="12.75">
      <c r="R78" s="2"/>
    </row>
    <row r="79" ht="12.75">
      <c r="R79" s="2"/>
    </row>
    <row r="80" ht="12.75">
      <c r="R80" s="2"/>
    </row>
  </sheetData>
  <printOptions gridLines="1"/>
  <pageMargins left="0.25" right="0.25" top="1" bottom="0.55" header="0.5" footer="0.25"/>
  <pageSetup fitToHeight="1" fitToWidth="1" horizontalDpi="300" verticalDpi="300" orientation="landscape" scale="93" r:id="rId1"/>
  <headerFooter alignWithMargins="0">
    <oddFooter>&amp;L&amp;F
&amp;A&amp;CPage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T78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5" width="9.7109375" style="0" hidden="1" customWidth="1"/>
    <col min="6" max="8" width="6.421875" style="0" hidden="1" customWidth="1"/>
    <col min="9" max="11" width="6.421875" style="0" customWidth="1"/>
    <col min="12" max="12" width="6.8515625" style="0" bestFit="1" customWidth="1"/>
    <col min="13" max="13" width="7.57421875" style="0" bestFit="1" customWidth="1"/>
    <col min="14" max="14" width="9.421875" style="0" customWidth="1"/>
    <col min="16" max="16" width="10.7109375" style="0" bestFit="1" customWidth="1"/>
    <col min="17" max="17" width="8.0039062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499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8" ht="12.75">
      <c r="A7" t="s">
        <v>500</v>
      </c>
      <c r="B7" s="4">
        <v>52.1263</v>
      </c>
      <c r="C7" s="2"/>
      <c r="D7" s="2"/>
      <c r="E7" s="2">
        <v>4539</v>
      </c>
      <c r="F7" s="2">
        <v>6051</v>
      </c>
      <c r="G7" s="2">
        <v>6050</v>
      </c>
      <c r="H7" s="2">
        <v>4538</v>
      </c>
      <c r="I7" s="2">
        <v>4538</v>
      </c>
      <c r="J7" s="2">
        <v>6050</v>
      </c>
      <c r="K7" s="2">
        <v>6050</v>
      </c>
      <c r="L7" s="2"/>
      <c r="M7" s="2">
        <v>6050</v>
      </c>
      <c r="N7" s="2">
        <v>6050</v>
      </c>
      <c r="O7" s="2">
        <v>6050</v>
      </c>
      <c r="P7" s="2">
        <v>0</v>
      </c>
      <c r="Q7" s="2">
        <v>0</v>
      </c>
      <c r="R7" s="64">
        <f>(Q7-N7)/N7</f>
        <v>-1</v>
      </c>
    </row>
    <row r="8" ht="12.75">
      <c r="R8" s="49"/>
    </row>
    <row r="9" ht="12.75">
      <c r="R9" s="49"/>
    </row>
    <row r="10" spans="1:18" ht="12.75">
      <c r="A10" s="6" t="s">
        <v>23</v>
      </c>
      <c r="B10" s="6"/>
      <c r="C10" s="7">
        <f aca="true" t="shared" si="0" ref="C10:I10">SUM(C7:C9)</f>
        <v>0</v>
      </c>
      <c r="D10" s="8">
        <f t="shared" si="0"/>
        <v>0</v>
      </c>
      <c r="E10" s="8">
        <f t="shared" si="0"/>
        <v>4539</v>
      </c>
      <c r="F10" s="8">
        <f t="shared" si="0"/>
        <v>6051</v>
      </c>
      <c r="G10" s="8">
        <f t="shared" si="0"/>
        <v>6050</v>
      </c>
      <c r="H10" s="8">
        <f t="shared" si="0"/>
        <v>4538</v>
      </c>
      <c r="I10" s="8">
        <f t="shared" si="0"/>
        <v>4538</v>
      </c>
      <c r="J10" s="8">
        <v>6050</v>
      </c>
      <c r="K10" s="8">
        <f aca="true" t="shared" si="1" ref="K10:Q10">SUM(K7:K9)</f>
        <v>6050</v>
      </c>
      <c r="L10" s="8">
        <f t="shared" si="1"/>
        <v>0</v>
      </c>
      <c r="M10" s="8">
        <f t="shared" si="1"/>
        <v>6050</v>
      </c>
      <c r="N10" s="8">
        <f t="shared" si="1"/>
        <v>6050</v>
      </c>
      <c r="O10" s="8">
        <f t="shared" si="1"/>
        <v>6050</v>
      </c>
      <c r="P10" s="8">
        <f t="shared" si="1"/>
        <v>0</v>
      </c>
      <c r="Q10" s="8">
        <f t="shared" si="1"/>
        <v>0</v>
      </c>
      <c r="R10" s="68">
        <f>(Q10-N10)/N10</f>
        <v>-1</v>
      </c>
    </row>
    <row r="11" ht="12.75">
      <c r="R11" s="49"/>
    </row>
    <row r="12" spans="1:18" ht="12.75">
      <c r="A12" t="s">
        <v>291</v>
      </c>
      <c r="N12" s="21" t="s">
        <v>357</v>
      </c>
      <c r="O12" s="21"/>
      <c r="P12" s="53">
        <f>O10-P10</f>
        <v>6050</v>
      </c>
      <c r="R12" s="49"/>
    </row>
    <row r="13" spans="14:18" ht="12.75">
      <c r="N13" s="21" t="s">
        <v>545</v>
      </c>
      <c r="O13" s="21"/>
      <c r="P13" s="53">
        <f>N10-P10</f>
        <v>6050</v>
      </c>
      <c r="R13" s="49"/>
    </row>
    <row r="14" spans="14:18" ht="12.75">
      <c r="N14" s="21" t="s">
        <v>307</v>
      </c>
      <c r="O14" s="21"/>
      <c r="P14" s="53">
        <f>P10-Q10</f>
        <v>0</v>
      </c>
      <c r="R14" s="49"/>
    </row>
    <row r="15" ht="12.75">
      <c r="R15" s="49"/>
    </row>
    <row r="16" spans="1:18" ht="12.75">
      <c r="A16" s="6" t="s">
        <v>757</v>
      </c>
      <c r="R16" s="49"/>
    </row>
    <row r="17" ht="12.75">
      <c r="R17" s="49"/>
    </row>
    <row r="18" ht="12.75">
      <c r="R18" s="49"/>
    </row>
    <row r="19" ht="12.75">
      <c r="R19" s="49"/>
    </row>
    <row r="20" spans="18:20" ht="12.75">
      <c r="R20" s="49"/>
      <c r="T20" t="s">
        <v>489</v>
      </c>
    </row>
    <row r="21" ht="12.75">
      <c r="R21" s="49"/>
    </row>
    <row r="22" ht="12.75">
      <c r="R22" s="49"/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45" spans="3:17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73" ht="12.75">
      <c r="R73" s="2"/>
    </row>
    <row r="74" ht="12.75">
      <c r="R74" s="2"/>
    </row>
    <row r="75" ht="12.75">
      <c r="R75" s="2"/>
    </row>
    <row r="76" ht="12.75">
      <c r="R76" s="2"/>
    </row>
    <row r="77" ht="12.75">
      <c r="R77" s="2"/>
    </row>
    <row r="78" ht="12.75">
      <c r="R78" s="2"/>
    </row>
  </sheetData>
  <printOptions gridLines="1"/>
  <pageMargins left="0.25" right="0.25" top="1" bottom="0.55" header="0.5" footer="0.25"/>
  <pageSetup fitToHeight="1" fitToWidth="1" horizontalDpi="300" verticalDpi="300" orientation="landscape" scale="95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114"/>
  <sheetViews>
    <sheetView zoomScale="75" zoomScaleNormal="75" workbookViewId="0" topLeftCell="A2">
      <pane ySplit="1155" topLeftCell="BM25" activePane="bottomLeft" state="split"/>
      <selection pane="topLeft" activeCell="O160" sqref="O160"/>
      <selection pane="bottomLeft" activeCell="O160" sqref="O160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10.421875" style="0" hidden="1" customWidth="1"/>
    <col min="9" max="11" width="10.421875" style="0" customWidth="1"/>
    <col min="13" max="13" width="10.8515625" style="0" bestFit="1" customWidth="1"/>
    <col min="14" max="14" width="11.00390625" style="0" bestFit="1" customWidth="1"/>
    <col min="15" max="15" width="10.00390625" style="0" customWidth="1"/>
    <col min="16" max="17" width="10.8515625" style="0" bestFit="1" customWidth="1"/>
    <col min="18" max="18" width="8.57421875" style="0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334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s="58" t="s">
        <v>25</v>
      </c>
      <c r="B6" s="58"/>
      <c r="C6" s="37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9" ht="12.75">
      <c r="A7" s="21" t="s">
        <v>491</v>
      </c>
      <c r="B7" s="4">
        <v>51.11</v>
      </c>
      <c r="C7" s="2">
        <v>599080</v>
      </c>
      <c r="D7" s="2">
        <v>611725</v>
      </c>
      <c r="E7" s="2">
        <v>610563</v>
      </c>
      <c r="F7" s="2">
        <v>714694</v>
      </c>
      <c r="G7" s="2">
        <v>756554</v>
      </c>
      <c r="H7" s="2">
        <v>773809</v>
      </c>
      <c r="I7" s="2">
        <v>813948</v>
      </c>
      <c r="J7" s="2">
        <v>891737</v>
      </c>
      <c r="K7" s="2">
        <v>883390</v>
      </c>
      <c r="L7" s="2">
        <v>436635</v>
      </c>
      <c r="M7" s="2">
        <f>+L7/$L$3*12</f>
        <v>873270</v>
      </c>
      <c r="N7" s="2">
        <v>1017936.7590999999</v>
      </c>
      <c r="O7" s="2">
        <v>1026216.2290749997</v>
      </c>
      <c r="P7" s="2">
        <v>1026216.2290749997</v>
      </c>
      <c r="Q7" s="2">
        <v>995478.2523249995</v>
      </c>
      <c r="R7" s="64">
        <f aca="true" t="shared" si="0" ref="R7:R13">(Q7-N7)/N7</f>
        <v>-0.022062772145940445</v>
      </c>
      <c r="S7" s="20" t="s">
        <v>742</v>
      </c>
    </row>
    <row r="8" spans="1:19" ht="12.75">
      <c r="A8" t="s">
        <v>478</v>
      </c>
      <c r="B8" s="4">
        <v>51.1105</v>
      </c>
      <c r="C8" s="2"/>
      <c r="D8" s="2"/>
      <c r="E8" s="2"/>
      <c r="F8" s="2"/>
      <c r="G8" s="2"/>
      <c r="H8" s="2"/>
      <c r="I8" s="2">
        <v>641</v>
      </c>
      <c r="J8" s="2">
        <v>16006</v>
      </c>
      <c r="K8" s="2">
        <v>41419</v>
      </c>
      <c r="L8" s="2">
        <v>21872</v>
      </c>
      <c r="M8" s="2">
        <f aca="true" t="shared" si="1" ref="M8:M13">+L8/$L$3*12</f>
        <v>43744</v>
      </c>
      <c r="N8" s="2">
        <v>40000</v>
      </c>
      <c r="O8" s="2">
        <v>40000</v>
      </c>
      <c r="P8" s="2">
        <v>40000</v>
      </c>
      <c r="Q8" s="2">
        <v>40000</v>
      </c>
      <c r="R8" s="64">
        <f t="shared" si="0"/>
        <v>0</v>
      </c>
      <c r="S8" s="2" t="s">
        <v>410</v>
      </c>
    </row>
    <row r="9" spans="1:19" ht="12.75">
      <c r="A9" t="s">
        <v>533</v>
      </c>
      <c r="B9" s="4">
        <v>51.1136</v>
      </c>
      <c r="C9" s="2"/>
      <c r="D9" s="2"/>
      <c r="E9" s="2"/>
      <c r="F9" s="2"/>
      <c r="G9" s="2"/>
      <c r="H9" s="2"/>
      <c r="I9" s="2"/>
      <c r="J9" s="2">
        <v>13043</v>
      </c>
      <c r="K9" s="2">
        <v>6595</v>
      </c>
      <c r="L9" s="2">
        <v>0</v>
      </c>
      <c r="M9" s="2">
        <v>13000</v>
      </c>
      <c r="N9" s="2">
        <v>13000</v>
      </c>
      <c r="O9" s="2">
        <v>13000</v>
      </c>
      <c r="P9" s="2">
        <v>13000</v>
      </c>
      <c r="Q9" s="2">
        <v>13000</v>
      </c>
      <c r="R9" s="64">
        <f t="shared" si="0"/>
        <v>0</v>
      </c>
      <c r="S9" s="2"/>
    </row>
    <row r="10" spans="1:18" ht="12.75">
      <c r="A10" t="s">
        <v>43</v>
      </c>
      <c r="B10" s="4">
        <v>51.13</v>
      </c>
      <c r="C10" s="2">
        <v>46636</v>
      </c>
      <c r="D10" s="2">
        <v>61060</v>
      </c>
      <c r="E10" s="2">
        <v>51657</v>
      </c>
      <c r="F10" s="2">
        <v>37053</v>
      </c>
      <c r="G10" s="2">
        <v>35076</v>
      </c>
      <c r="H10" s="2">
        <v>36530</v>
      </c>
      <c r="I10" s="2">
        <v>44726</v>
      </c>
      <c r="J10" s="2">
        <v>46064</v>
      </c>
      <c r="K10" s="2">
        <v>40941</v>
      </c>
      <c r="L10" s="2">
        <v>23080</v>
      </c>
      <c r="M10" s="2">
        <f t="shared" si="1"/>
        <v>46160</v>
      </c>
      <c r="N10" s="2">
        <v>52000</v>
      </c>
      <c r="O10" s="2">
        <v>46000</v>
      </c>
      <c r="P10" s="2">
        <v>46000</v>
      </c>
      <c r="Q10" s="2">
        <v>46000</v>
      </c>
      <c r="R10" s="64">
        <f t="shared" si="0"/>
        <v>-0.11538461538461539</v>
      </c>
    </row>
    <row r="11" spans="1:19" ht="12.75">
      <c r="A11" t="s">
        <v>681</v>
      </c>
      <c r="B11" s="4">
        <v>51.21</v>
      </c>
      <c r="C11" s="2">
        <v>48322</v>
      </c>
      <c r="D11" s="2">
        <v>54628</v>
      </c>
      <c r="E11" s="2">
        <v>66385</v>
      </c>
      <c r="F11" s="2">
        <v>63605</v>
      </c>
      <c r="G11" s="2">
        <v>68196</v>
      </c>
      <c r="H11" s="2">
        <v>68096</v>
      </c>
      <c r="I11" s="2">
        <v>71522</v>
      </c>
      <c r="J11" s="2">
        <v>82317</v>
      </c>
      <c r="K11" s="2">
        <v>100362</v>
      </c>
      <c r="L11" s="2">
        <v>55030</v>
      </c>
      <c r="M11" s="2">
        <f t="shared" si="1"/>
        <v>110060</v>
      </c>
      <c r="N11" s="29">
        <v>123639.6</v>
      </c>
      <c r="O11" s="29">
        <f>4800*29</f>
        <v>139200</v>
      </c>
      <c r="P11" s="29">
        <f>4800*29</f>
        <v>139200</v>
      </c>
      <c r="Q11" s="29">
        <f>4800*28</f>
        <v>134400</v>
      </c>
      <c r="R11" s="64">
        <f t="shared" si="0"/>
        <v>0.0870303689109314</v>
      </c>
      <c r="S11" s="31" t="s">
        <v>741</v>
      </c>
    </row>
    <row r="12" spans="1:19" ht="12.75">
      <c r="A12" t="s">
        <v>30</v>
      </c>
      <c r="B12" s="4">
        <v>51.22</v>
      </c>
      <c r="C12" s="2">
        <v>47775</v>
      </c>
      <c r="D12" s="2">
        <v>49989</v>
      </c>
      <c r="E12" s="2">
        <v>48967</v>
      </c>
      <c r="F12" s="2">
        <v>57540</v>
      </c>
      <c r="G12" s="2">
        <v>59043</v>
      </c>
      <c r="H12" s="2">
        <v>60145</v>
      </c>
      <c r="I12" s="2">
        <v>63386</v>
      </c>
      <c r="J12" s="2">
        <v>70661</v>
      </c>
      <c r="K12" s="2">
        <v>71288</v>
      </c>
      <c r="L12" s="2">
        <v>35328</v>
      </c>
      <c r="M12" s="2">
        <f>+L12/$L$3*12</f>
        <v>70656</v>
      </c>
      <c r="N12" s="2">
        <v>85904.66207114999</v>
      </c>
      <c r="O12" s="2">
        <f>(O7+O8+O9+O10)*0.0765</f>
        <v>86079.04152423747</v>
      </c>
      <c r="P12" s="2">
        <f>(P7+P8+P9+P10)*0.0765</f>
        <v>86079.04152423747</v>
      </c>
      <c r="Q12" s="2">
        <f>(Q7+Q8+Q9+Q10)*0.0765</f>
        <v>83727.58630286246</v>
      </c>
      <c r="R12" s="64">
        <f t="shared" si="0"/>
        <v>-0.025342929193812293</v>
      </c>
      <c r="S12" s="31" t="s">
        <v>722</v>
      </c>
    </row>
    <row r="13" spans="1:18" ht="12.75">
      <c r="A13" t="s">
        <v>44</v>
      </c>
      <c r="B13" s="4">
        <v>51.24</v>
      </c>
      <c r="C13" s="2">
        <v>8950</v>
      </c>
      <c r="D13" s="2">
        <v>9373</v>
      </c>
      <c r="E13" s="2">
        <v>6541</v>
      </c>
      <c r="F13" s="2">
        <v>6369</v>
      </c>
      <c r="G13" s="2">
        <v>7292</v>
      </c>
      <c r="H13" s="2">
        <v>7471</v>
      </c>
      <c r="I13" s="2">
        <v>9256</v>
      </c>
      <c r="J13" s="2">
        <v>12280</v>
      </c>
      <c r="K13" s="2">
        <v>14073</v>
      </c>
      <c r="L13" s="2">
        <v>7692</v>
      </c>
      <c r="M13" s="2">
        <f t="shared" si="1"/>
        <v>15384</v>
      </c>
      <c r="N13" s="2">
        <v>14000</v>
      </c>
      <c r="O13" s="2">
        <v>16000</v>
      </c>
      <c r="P13" s="2">
        <v>16000</v>
      </c>
      <c r="Q13" s="2">
        <v>16000</v>
      </c>
      <c r="R13" s="64">
        <f t="shared" si="0"/>
        <v>0.14285714285714285</v>
      </c>
    </row>
    <row r="14" spans="1:18" ht="12.75">
      <c r="A14" t="s">
        <v>529</v>
      </c>
      <c r="B14" s="4">
        <v>51.26</v>
      </c>
      <c r="C14" s="2"/>
      <c r="D14" s="2"/>
      <c r="E14" s="2"/>
      <c r="F14" s="2"/>
      <c r="G14" s="2"/>
      <c r="H14" s="2"/>
      <c r="I14" s="2"/>
      <c r="J14" s="2"/>
      <c r="K14" s="2">
        <v>271</v>
      </c>
      <c r="L14" s="2">
        <v>2880</v>
      </c>
      <c r="M14" s="2"/>
      <c r="N14" s="2"/>
      <c r="O14" s="2"/>
      <c r="P14" s="2"/>
      <c r="Q14" s="2"/>
      <c r="R14" s="64"/>
    </row>
    <row r="15" spans="2:18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64"/>
    </row>
    <row r="16" spans="1:19" ht="12.75">
      <c r="A16" t="s">
        <v>578</v>
      </c>
      <c r="B16" s="4">
        <v>52.1207</v>
      </c>
      <c r="C16" s="2"/>
      <c r="D16" s="2"/>
      <c r="E16" s="2"/>
      <c r="F16" s="2"/>
      <c r="G16" s="2"/>
      <c r="H16" s="2"/>
      <c r="I16" s="2"/>
      <c r="J16" s="2"/>
      <c r="K16" s="2">
        <v>578</v>
      </c>
      <c r="L16" s="2"/>
      <c r="M16" s="2">
        <v>320</v>
      </c>
      <c r="N16" s="2">
        <v>320</v>
      </c>
      <c r="O16" s="2">
        <v>320</v>
      </c>
      <c r="P16" s="2">
        <v>320</v>
      </c>
      <c r="Q16" s="2">
        <v>320</v>
      </c>
      <c r="R16" s="64"/>
      <c r="S16" t="s">
        <v>579</v>
      </c>
    </row>
    <row r="17" spans="1:21" ht="12.75">
      <c r="A17" t="s">
        <v>97</v>
      </c>
      <c r="B17" s="4">
        <v>52.121</v>
      </c>
      <c r="C17" s="2"/>
      <c r="D17" s="2"/>
      <c r="E17" s="2"/>
      <c r="F17" s="2"/>
      <c r="G17" s="2"/>
      <c r="H17" s="2"/>
      <c r="I17" s="2">
        <v>69</v>
      </c>
      <c r="J17" s="2">
        <v>875</v>
      </c>
      <c r="K17" s="2"/>
      <c r="L17" s="2"/>
      <c r="M17" s="2">
        <v>5000</v>
      </c>
      <c r="N17" s="2">
        <v>1000</v>
      </c>
      <c r="O17" s="2">
        <v>1000</v>
      </c>
      <c r="P17" s="2">
        <v>1000</v>
      </c>
      <c r="Q17" s="2">
        <v>1000</v>
      </c>
      <c r="R17" s="64"/>
      <c r="U17" s="2"/>
    </row>
    <row r="18" spans="1:18" ht="12.75">
      <c r="A18" t="s">
        <v>403</v>
      </c>
      <c r="B18" s="4">
        <v>52.1211</v>
      </c>
      <c r="C18" s="2"/>
      <c r="D18" s="2"/>
      <c r="E18" s="2"/>
      <c r="F18" s="2"/>
      <c r="G18" s="2"/>
      <c r="H18" s="2"/>
      <c r="I18" s="2"/>
      <c r="J18" s="2">
        <v>413</v>
      </c>
      <c r="K18" s="2">
        <v>1538</v>
      </c>
      <c r="L18" s="2">
        <v>250</v>
      </c>
      <c r="M18" s="2">
        <v>250</v>
      </c>
      <c r="N18" s="2"/>
      <c r="O18" s="2"/>
      <c r="P18" s="2"/>
      <c r="Q18" s="2"/>
      <c r="R18" s="64"/>
    </row>
    <row r="19" spans="1:18" ht="12.75">
      <c r="A19" t="s">
        <v>115</v>
      </c>
      <c r="B19" s="4">
        <v>52.1303</v>
      </c>
      <c r="C19" s="2"/>
      <c r="D19" s="2"/>
      <c r="E19" s="2">
        <v>210</v>
      </c>
      <c r="F19" s="2">
        <v>225</v>
      </c>
      <c r="G19" s="2">
        <v>225</v>
      </c>
      <c r="H19" s="2">
        <v>354</v>
      </c>
      <c r="I19" s="2">
        <v>260</v>
      </c>
      <c r="J19" s="2">
        <v>275</v>
      </c>
      <c r="K19" s="2">
        <v>300</v>
      </c>
      <c r="L19" s="2">
        <v>350</v>
      </c>
      <c r="M19" s="2">
        <v>350</v>
      </c>
      <c r="N19" s="2">
        <v>375</v>
      </c>
      <c r="O19" s="2">
        <v>425</v>
      </c>
      <c r="P19" s="2">
        <v>425</v>
      </c>
      <c r="Q19" s="2">
        <v>425</v>
      </c>
      <c r="R19" s="64">
        <f>(Q19-N19)/N19</f>
        <v>0.13333333333333333</v>
      </c>
    </row>
    <row r="20" spans="1:19" ht="12.75">
      <c r="A20" t="s">
        <v>477</v>
      </c>
      <c r="B20" s="4">
        <v>52.1304</v>
      </c>
      <c r="C20" s="2">
        <v>10587</v>
      </c>
      <c r="D20" s="2">
        <v>11930</v>
      </c>
      <c r="E20" s="2">
        <v>2400</v>
      </c>
      <c r="F20" s="2">
        <v>3087</v>
      </c>
      <c r="G20" s="2">
        <v>2400</v>
      </c>
      <c r="H20" s="2">
        <v>2507</v>
      </c>
      <c r="I20" s="2">
        <v>2276</v>
      </c>
      <c r="J20" s="2">
        <v>4770</v>
      </c>
      <c r="K20" s="2"/>
      <c r="L20" s="2"/>
      <c r="M20" s="2">
        <f aca="true" t="shared" si="2" ref="M20:M46">+L20/$L$3*12</f>
        <v>0</v>
      </c>
      <c r="N20" s="2"/>
      <c r="O20" s="2"/>
      <c r="P20" s="2"/>
      <c r="Q20" s="2"/>
      <c r="R20" s="64" t="e">
        <f>(Q20-N20)/N20</f>
        <v>#DIV/0!</v>
      </c>
      <c r="S20" t="s">
        <v>561</v>
      </c>
    </row>
    <row r="21" spans="1:18" ht="12.75">
      <c r="A21" t="s">
        <v>116</v>
      </c>
      <c r="B21" s="4">
        <v>52.1318</v>
      </c>
      <c r="C21" s="2">
        <v>2730</v>
      </c>
      <c r="D21" s="2">
        <v>1567</v>
      </c>
      <c r="E21" s="2">
        <v>2447</v>
      </c>
      <c r="F21" s="2">
        <v>5488</v>
      </c>
      <c r="G21" s="2">
        <v>3539</v>
      </c>
      <c r="H21" s="2">
        <v>3940</v>
      </c>
      <c r="I21" s="2">
        <v>3551</v>
      </c>
      <c r="J21" s="2">
        <v>5089</v>
      </c>
      <c r="K21" s="2">
        <v>3997</v>
      </c>
      <c r="L21" s="2">
        <v>1591</v>
      </c>
      <c r="M21" s="2">
        <f t="shared" si="2"/>
        <v>3182</v>
      </c>
      <c r="N21" s="2">
        <v>3000</v>
      </c>
      <c r="O21" s="2">
        <v>3000</v>
      </c>
      <c r="P21" s="2">
        <v>3000</v>
      </c>
      <c r="Q21" s="2">
        <v>3000</v>
      </c>
      <c r="R21" s="64">
        <f>(Q21-N21)/N21</f>
        <v>0</v>
      </c>
    </row>
    <row r="22" spans="1:18" ht="12.75">
      <c r="A22" t="s">
        <v>534</v>
      </c>
      <c r="B22" s="4">
        <v>52.1321</v>
      </c>
      <c r="C22" s="2"/>
      <c r="D22" s="2"/>
      <c r="E22" s="2"/>
      <c r="F22" s="2"/>
      <c r="G22" s="2"/>
      <c r="H22" s="2"/>
      <c r="I22" s="2"/>
      <c r="J22" s="2">
        <v>125</v>
      </c>
      <c r="K22" s="2">
        <v>123</v>
      </c>
      <c r="L22" s="2">
        <v>105</v>
      </c>
      <c r="M22" s="2">
        <f t="shared" si="2"/>
        <v>210</v>
      </c>
      <c r="N22" s="2">
        <v>500</v>
      </c>
      <c r="O22" s="2">
        <v>500</v>
      </c>
      <c r="P22" s="2">
        <v>200</v>
      </c>
      <c r="Q22" s="2">
        <v>200</v>
      </c>
      <c r="R22" s="64"/>
    </row>
    <row r="23" spans="1:18" ht="12.75">
      <c r="A23" t="s">
        <v>535</v>
      </c>
      <c r="B23" s="4">
        <v>52.2201</v>
      </c>
      <c r="C23" s="2"/>
      <c r="D23" s="2"/>
      <c r="E23" s="2"/>
      <c r="F23" s="2"/>
      <c r="G23" s="2"/>
      <c r="H23" s="2"/>
      <c r="I23" s="2"/>
      <c r="J23" s="2">
        <v>160</v>
      </c>
      <c r="K23" s="2"/>
      <c r="L23" s="2"/>
      <c r="M23" s="2"/>
      <c r="N23" s="2"/>
      <c r="O23" s="2"/>
      <c r="P23" s="2"/>
      <c r="Q23" s="2"/>
      <c r="R23" s="64"/>
    </row>
    <row r="24" spans="1:18" ht="12.75">
      <c r="A24" t="s">
        <v>53</v>
      </c>
      <c r="B24" s="4">
        <v>52.2204</v>
      </c>
      <c r="C24" s="2"/>
      <c r="D24" s="2"/>
      <c r="E24" s="2">
        <v>1276</v>
      </c>
      <c r="F24" s="2">
        <v>577</v>
      </c>
      <c r="G24" s="2">
        <v>1588</v>
      </c>
      <c r="H24" s="2">
        <v>2360</v>
      </c>
      <c r="I24" s="2">
        <v>555</v>
      </c>
      <c r="J24" s="2">
        <f>89+990</f>
        <v>1079</v>
      </c>
      <c r="K24" s="2">
        <v>1097</v>
      </c>
      <c r="L24" s="2">
        <v>446</v>
      </c>
      <c r="M24" s="2">
        <f t="shared" si="2"/>
        <v>892</v>
      </c>
      <c r="N24" s="2">
        <v>1100</v>
      </c>
      <c r="O24" s="2">
        <v>1100</v>
      </c>
      <c r="P24" s="2">
        <v>1000</v>
      </c>
      <c r="Q24" s="2">
        <v>1000</v>
      </c>
      <c r="R24" s="64">
        <f>(Q24-N24)/N24</f>
        <v>-0.09090909090909091</v>
      </c>
    </row>
    <row r="25" spans="1:18" ht="12.75">
      <c r="A25" t="s">
        <v>76</v>
      </c>
      <c r="B25" s="4">
        <v>52.2206</v>
      </c>
      <c r="C25" s="2">
        <v>6786</v>
      </c>
      <c r="D25" s="2">
        <v>2513</v>
      </c>
      <c r="E25" s="2">
        <v>5492</v>
      </c>
      <c r="F25" s="2">
        <v>2492</v>
      </c>
      <c r="G25" s="2">
        <v>1704</v>
      </c>
      <c r="H25" s="2">
        <v>2048</v>
      </c>
      <c r="I25" s="2">
        <v>2230</v>
      </c>
      <c r="J25" s="2">
        <v>1120</v>
      </c>
      <c r="K25" s="2">
        <v>4326</v>
      </c>
      <c r="L25" s="2">
        <v>1117</v>
      </c>
      <c r="M25" s="2">
        <f t="shared" si="2"/>
        <v>2234</v>
      </c>
      <c r="N25" s="2">
        <v>3000</v>
      </c>
      <c r="O25" s="2">
        <v>3000</v>
      </c>
      <c r="P25" s="2">
        <v>2500</v>
      </c>
      <c r="Q25" s="2">
        <v>2500</v>
      </c>
      <c r="R25" s="64">
        <f>(Q25-N25)/N25</f>
        <v>-0.16666666666666666</v>
      </c>
    </row>
    <row r="26" spans="1:18" ht="12.75">
      <c r="A26" t="s">
        <v>117</v>
      </c>
      <c r="B26" s="4">
        <v>52.2322</v>
      </c>
      <c r="C26" s="2"/>
      <c r="D26" s="2"/>
      <c r="E26" s="2">
        <v>2000</v>
      </c>
      <c r="F26" s="2">
        <v>2400</v>
      </c>
      <c r="G26" s="2">
        <v>2400</v>
      </c>
      <c r="H26" s="2">
        <v>2200</v>
      </c>
      <c r="I26" s="2">
        <v>1404</v>
      </c>
      <c r="J26" s="2"/>
      <c r="K26" s="2"/>
      <c r="L26" s="2"/>
      <c r="M26" s="2">
        <f t="shared" si="2"/>
        <v>0</v>
      </c>
      <c r="N26" s="2"/>
      <c r="O26" s="2"/>
      <c r="P26" s="2"/>
      <c r="Q26" s="2"/>
      <c r="R26" s="64"/>
    </row>
    <row r="27" spans="1:18" ht="12.75">
      <c r="A27" t="s">
        <v>32</v>
      </c>
      <c r="B27" s="4">
        <v>52.32</v>
      </c>
      <c r="C27" s="2">
        <v>16546</v>
      </c>
      <c r="D27" s="2">
        <v>12012</v>
      </c>
      <c r="E27" s="2">
        <v>12432</v>
      </c>
      <c r="F27" s="2">
        <v>15273</v>
      </c>
      <c r="G27" s="2">
        <v>14737</v>
      </c>
      <c r="H27" s="2">
        <v>18057</v>
      </c>
      <c r="I27" s="2">
        <v>17768</v>
      </c>
      <c r="J27" s="2">
        <v>19216</v>
      </c>
      <c r="K27" s="2">
        <v>21272</v>
      </c>
      <c r="L27" s="2">
        <v>9852</v>
      </c>
      <c r="M27" s="2">
        <f t="shared" si="2"/>
        <v>19704</v>
      </c>
      <c r="N27" s="2">
        <v>19000</v>
      </c>
      <c r="O27" s="2">
        <v>19000</v>
      </c>
      <c r="P27" s="2">
        <v>19000</v>
      </c>
      <c r="Q27" s="2">
        <v>19000</v>
      </c>
      <c r="R27" s="64">
        <f>(Q27-N27)/N27</f>
        <v>0</v>
      </c>
    </row>
    <row r="28" spans="1:18" ht="12.75">
      <c r="A28" t="s">
        <v>33</v>
      </c>
      <c r="B28" s="4">
        <v>52.321</v>
      </c>
      <c r="C28" s="2">
        <v>645</v>
      </c>
      <c r="D28" s="2">
        <v>781</v>
      </c>
      <c r="E28" s="2">
        <v>821</v>
      </c>
      <c r="F28" s="2">
        <v>949</v>
      </c>
      <c r="G28" s="2">
        <v>999</v>
      </c>
      <c r="H28" s="2">
        <v>1241</v>
      </c>
      <c r="I28" s="2">
        <v>1241</v>
      </c>
      <c r="J28" s="2">
        <v>957</v>
      </c>
      <c r="K28" s="2">
        <v>1061</v>
      </c>
      <c r="L28" s="2">
        <v>285</v>
      </c>
      <c r="M28" s="2">
        <f t="shared" si="2"/>
        <v>570</v>
      </c>
      <c r="N28" s="2">
        <v>1200</v>
      </c>
      <c r="O28" s="2">
        <v>1200</v>
      </c>
      <c r="P28" s="2">
        <v>1000</v>
      </c>
      <c r="Q28" s="2">
        <v>1000</v>
      </c>
      <c r="R28" s="64">
        <f>(Q28-N28)/N28</f>
        <v>-0.16666666666666666</v>
      </c>
    </row>
    <row r="29" spans="1:19" ht="12.75" hidden="1">
      <c r="A29" t="s">
        <v>118</v>
      </c>
      <c r="B29" s="4">
        <v>52.322</v>
      </c>
      <c r="C29" s="2"/>
      <c r="D29" s="2"/>
      <c r="E29" s="2">
        <v>16</v>
      </c>
      <c r="F29" s="2">
        <v>300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4"/>
      <c r="S29" s="10"/>
    </row>
    <row r="30" spans="1:18" ht="12.75">
      <c r="A30" t="s">
        <v>54</v>
      </c>
      <c r="B30" s="4">
        <v>52.33</v>
      </c>
      <c r="C30" s="2"/>
      <c r="D30" s="2"/>
      <c r="E30" s="2">
        <v>100</v>
      </c>
      <c r="F30" s="2">
        <v>395</v>
      </c>
      <c r="G30" s="2">
        <v>156</v>
      </c>
      <c r="H30" s="2">
        <v>79</v>
      </c>
      <c r="I30" s="2">
        <v>280</v>
      </c>
      <c r="J30" s="2">
        <v>57</v>
      </c>
      <c r="K30" s="2">
        <v>130</v>
      </c>
      <c r="L30" s="2">
        <v>0</v>
      </c>
      <c r="M30" s="2">
        <f t="shared" si="2"/>
        <v>0</v>
      </c>
      <c r="N30" s="2">
        <v>200</v>
      </c>
      <c r="O30" s="2">
        <v>200</v>
      </c>
      <c r="P30" s="2">
        <v>100</v>
      </c>
      <c r="Q30" s="2">
        <v>100</v>
      </c>
      <c r="R30" s="64">
        <f>(Q30-N30)/N30</f>
        <v>-0.5</v>
      </c>
    </row>
    <row r="31" spans="1:18" ht="12.75">
      <c r="A31" t="s">
        <v>45</v>
      </c>
      <c r="B31" s="4">
        <v>52.35</v>
      </c>
      <c r="C31" s="2">
        <v>4587</v>
      </c>
      <c r="D31" s="2">
        <v>4837</v>
      </c>
      <c r="E31" s="2">
        <v>1734</v>
      </c>
      <c r="F31" s="2">
        <v>1714</v>
      </c>
      <c r="G31" s="2">
        <v>1540</v>
      </c>
      <c r="H31" s="2">
        <v>3528</v>
      </c>
      <c r="I31" s="2">
        <v>2090</v>
      </c>
      <c r="J31" s="2">
        <v>1100</v>
      </c>
      <c r="K31" s="2">
        <v>1726</v>
      </c>
      <c r="L31" s="2">
        <v>1308</v>
      </c>
      <c r="M31" s="2">
        <f t="shared" si="2"/>
        <v>2616</v>
      </c>
      <c r="N31" s="2">
        <v>2500</v>
      </c>
      <c r="O31" s="2">
        <v>2500</v>
      </c>
      <c r="P31" s="2">
        <v>2500</v>
      </c>
      <c r="Q31" s="2">
        <v>2500</v>
      </c>
      <c r="R31" s="64">
        <f>(Q31-N31)/N31</f>
        <v>0</v>
      </c>
    </row>
    <row r="32" spans="1:18" ht="12.75">
      <c r="A32" t="s">
        <v>35</v>
      </c>
      <c r="B32" s="4">
        <v>52.3602</v>
      </c>
      <c r="C32" s="2">
        <v>750</v>
      </c>
      <c r="D32" s="2">
        <v>750</v>
      </c>
      <c r="E32" s="2">
        <v>750</v>
      </c>
      <c r="F32" s="2">
        <v>500</v>
      </c>
      <c r="G32" s="2">
        <v>920</v>
      </c>
      <c r="H32" s="2">
        <v>600</v>
      </c>
      <c r="I32" s="2">
        <v>950</v>
      </c>
      <c r="J32" s="2">
        <v>950</v>
      </c>
      <c r="K32" s="2">
        <v>1055</v>
      </c>
      <c r="L32" s="2">
        <v>725</v>
      </c>
      <c r="M32" s="2">
        <f t="shared" si="2"/>
        <v>1450</v>
      </c>
      <c r="N32" s="2">
        <v>1000</v>
      </c>
      <c r="O32" s="2">
        <v>1000</v>
      </c>
      <c r="P32" s="2">
        <v>1000</v>
      </c>
      <c r="Q32" s="2">
        <v>1000</v>
      </c>
      <c r="R32" s="64"/>
    </row>
    <row r="33" spans="1:19" ht="12.75">
      <c r="A33" t="s">
        <v>46</v>
      </c>
      <c r="B33" s="4">
        <v>52.37</v>
      </c>
      <c r="C33" s="2"/>
      <c r="D33" s="2"/>
      <c r="E33" s="2">
        <v>75</v>
      </c>
      <c r="F33" s="2">
        <v>459</v>
      </c>
      <c r="G33" s="2">
        <v>759</v>
      </c>
      <c r="H33" s="2">
        <v>550</v>
      </c>
      <c r="I33" s="2"/>
      <c r="J33" s="2"/>
      <c r="K33" s="2">
        <v>1519</v>
      </c>
      <c r="L33" s="2">
        <v>51</v>
      </c>
      <c r="M33" s="2">
        <f t="shared" si="2"/>
        <v>102</v>
      </c>
      <c r="N33" s="2">
        <v>1500</v>
      </c>
      <c r="O33" s="2">
        <v>2500</v>
      </c>
      <c r="P33" s="2">
        <v>2500</v>
      </c>
      <c r="Q33" s="2">
        <v>2500</v>
      </c>
      <c r="R33" s="64"/>
      <c r="S33" t="s">
        <v>415</v>
      </c>
    </row>
    <row r="34" spans="1:18" ht="12.75">
      <c r="A34" t="s">
        <v>454</v>
      </c>
      <c r="B34" s="4">
        <v>52.391</v>
      </c>
      <c r="C34" s="2"/>
      <c r="D34" s="2"/>
      <c r="E34" s="2"/>
      <c r="F34" s="2"/>
      <c r="G34" s="2"/>
      <c r="H34" s="2"/>
      <c r="I34" s="2">
        <v>3000</v>
      </c>
      <c r="J34" s="2"/>
      <c r="K34" s="2"/>
      <c r="L34" s="2"/>
      <c r="M34" s="2"/>
      <c r="N34" s="2"/>
      <c r="O34" s="2"/>
      <c r="P34" s="2"/>
      <c r="Q34" s="2"/>
      <c r="R34" s="64"/>
    </row>
    <row r="35" spans="2:18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4"/>
    </row>
    <row r="36" spans="1:18" ht="12.75">
      <c r="A36" t="s">
        <v>65</v>
      </c>
      <c r="B36" s="4">
        <v>53.1704</v>
      </c>
      <c r="C36" s="2">
        <v>5731</v>
      </c>
      <c r="D36" s="2">
        <v>4997</v>
      </c>
      <c r="E36" s="2">
        <v>3077</v>
      </c>
      <c r="F36" s="2">
        <v>1402</v>
      </c>
      <c r="G36" s="2">
        <v>1576</v>
      </c>
      <c r="H36" s="2">
        <v>1398</v>
      </c>
      <c r="I36" s="2">
        <v>673</v>
      </c>
      <c r="J36" s="2">
        <v>544</v>
      </c>
      <c r="K36" s="2">
        <v>955</v>
      </c>
      <c r="L36" s="2">
        <v>140</v>
      </c>
      <c r="M36" s="2">
        <f t="shared" si="2"/>
        <v>280</v>
      </c>
      <c r="N36" s="2">
        <v>600</v>
      </c>
      <c r="O36" s="2">
        <v>600</v>
      </c>
      <c r="P36" s="2">
        <v>600</v>
      </c>
      <c r="Q36" s="2">
        <v>600</v>
      </c>
      <c r="R36" s="64">
        <f>(Q36-N36)/N36</f>
        <v>0</v>
      </c>
    </row>
    <row r="37" spans="1:18" ht="12.75">
      <c r="A37" t="s">
        <v>40</v>
      </c>
      <c r="B37" s="4">
        <v>53.171</v>
      </c>
      <c r="C37" s="2">
        <v>7597</v>
      </c>
      <c r="D37" s="2">
        <v>5650</v>
      </c>
      <c r="E37" s="2">
        <v>8583</v>
      </c>
      <c r="F37" s="2">
        <v>7252</v>
      </c>
      <c r="G37" s="2">
        <v>6798</v>
      </c>
      <c r="H37" s="2">
        <v>6963</v>
      </c>
      <c r="I37" s="2">
        <f>7080+266</f>
        <v>7346</v>
      </c>
      <c r="J37" s="2">
        <v>9041</v>
      </c>
      <c r="K37" s="2">
        <v>8227</v>
      </c>
      <c r="L37" s="2">
        <v>5349</v>
      </c>
      <c r="M37" s="2">
        <f t="shared" si="2"/>
        <v>10698</v>
      </c>
      <c r="N37" s="2">
        <v>8000</v>
      </c>
      <c r="O37" s="2">
        <v>9000</v>
      </c>
      <c r="P37" s="2">
        <v>8000</v>
      </c>
      <c r="Q37" s="2">
        <v>8000</v>
      </c>
      <c r="R37" s="64">
        <f>(Q37-N37)/N37</f>
        <v>0</v>
      </c>
    </row>
    <row r="38" spans="1:18" s="6" customFormat="1" ht="12.75">
      <c r="A38" s="31" t="s">
        <v>526</v>
      </c>
      <c r="B38" s="32">
        <v>53.1715</v>
      </c>
      <c r="C38" s="13"/>
      <c r="D38" s="13"/>
      <c r="E38" s="13"/>
      <c r="F38" s="20">
        <v>300</v>
      </c>
      <c r="G38" s="20">
        <v>1382</v>
      </c>
      <c r="H38" s="20">
        <v>1173</v>
      </c>
      <c r="I38" s="20">
        <v>1675</v>
      </c>
      <c r="J38" s="20"/>
      <c r="K38" s="20"/>
      <c r="L38" s="20"/>
      <c r="M38" s="2"/>
      <c r="N38" s="20">
        <v>1800</v>
      </c>
      <c r="O38" s="20">
        <v>1800</v>
      </c>
      <c r="P38" s="20">
        <v>1800</v>
      </c>
      <c r="Q38" s="20">
        <v>1800</v>
      </c>
      <c r="R38" s="64">
        <f>(Q38-N38)/N38</f>
        <v>0</v>
      </c>
    </row>
    <row r="39" spans="1:18" ht="12.75">
      <c r="A39" t="s">
        <v>266</v>
      </c>
      <c r="B39" s="4">
        <v>53.1716</v>
      </c>
      <c r="C39" s="2"/>
      <c r="D39" s="2"/>
      <c r="E39" s="2"/>
      <c r="F39" s="2"/>
      <c r="G39" s="2">
        <v>397</v>
      </c>
      <c r="H39" s="2">
        <v>18</v>
      </c>
      <c r="I39" s="2"/>
      <c r="J39" s="2"/>
      <c r="K39" s="2">
        <v>213</v>
      </c>
      <c r="L39" s="2"/>
      <c r="M39" s="2"/>
      <c r="N39" s="2">
        <v>400</v>
      </c>
      <c r="O39" s="2">
        <v>400</v>
      </c>
      <c r="P39" s="2">
        <v>400</v>
      </c>
      <c r="Q39" s="2">
        <v>400</v>
      </c>
      <c r="R39" s="64">
        <f>(Q39-N39)/N39</f>
        <v>0</v>
      </c>
    </row>
    <row r="40" spans="1:18" ht="12.75">
      <c r="A40" t="s">
        <v>363</v>
      </c>
      <c r="B40" s="4">
        <v>53.1717</v>
      </c>
      <c r="C40" s="2"/>
      <c r="D40" s="2"/>
      <c r="E40" s="2"/>
      <c r="F40" s="2"/>
      <c r="G40" s="2">
        <v>4990</v>
      </c>
      <c r="H40" s="2"/>
      <c r="I40" s="2"/>
      <c r="J40" s="2"/>
      <c r="K40" s="2"/>
      <c r="L40" s="2"/>
      <c r="M40" s="2">
        <f t="shared" si="2"/>
        <v>0</v>
      </c>
      <c r="N40" s="2"/>
      <c r="O40" s="2"/>
      <c r="P40" s="2"/>
      <c r="Q40" s="2"/>
      <c r="R40" s="64"/>
    </row>
    <row r="41" spans="1:18" ht="12.75">
      <c r="A41" t="s">
        <v>119</v>
      </c>
      <c r="B41" s="4">
        <v>53.173</v>
      </c>
      <c r="C41" s="2">
        <v>9079</v>
      </c>
      <c r="D41" s="2">
        <v>9195</v>
      </c>
      <c r="E41" s="2">
        <v>9885</v>
      </c>
      <c r="F41" s="2">
        <v>9603</v>
      </c>
      <c r="G41" s="2">
        <v>11008</v>
      </c>
      <c r="H41" s="2">
        <v>9135</v>
      </c>
      <c r="I41" s="2">
        <v>10185</v>
      </c>
      <c r="J41" s="2">
        <v>10840</v>
      </c>
      <c r="K41" s="2">
        <v>10238</v>
      </c>
      <c r="L41" s="2">
        <v>5128</v>
      </c>
      <c r="M41" s="2">
        <f t="shared" si="2"/>
        <v>10256</v>
      </c>
      <c r="N41" s="2">
        <v>12000</v>
      </c>
      <c r="O41" s="2">
        <v>12000</v>
      </c>
      <c r="P41" s="2">
        <v>11000</v>
      </c>
      <c r="Q41" s="2">
        <v>11000</v>
      </c>
      <c r="R41" s="64">
        <f aca="true" t="shared" si="3" ref="R41:R46">(Q41-N41)/N41</f>
        <v>-0.08333333333333333</v>
      </c>
    </row>
    <row r="42" spans="1:18" ht="12.75">
      <c r="A42" t="s">
        <v>79</v>
      </c>
      <c r="B42" s="4">
        <v>53.175</v>
      </c>
      <c r="C42" s="2">
        <v>16674</v>
      </c>
      <c r="D42" s="2">
        <v>20446</v>
      </c>
      <c r="E42" s="2">
        <v>21748</v>
      </c>
      <c r="F42" s="2">
        <v>19035</v>
      </c>
      <c r="G42" s="2">
        <v>18640</v>
      </c>
      <c r="H42" s="2">
        <v>17535</v>
      </c>
      <c r="I42" s="2">
        <v>13704</v>
      </c>
      <c r="J42" s="2">
        <v>25205</v>
      </c>
      <c r="K42" s="2">
        <f>22462+32</f>
        <v>22494</v>
      </c>
      <c r="L42" s="2">
        <v>4131</v>
      </c>
      <c r="M42" s="2">
        <f t="shared" si="2"/>
        <v>8262</v>
      </c>
      <c r="N42" s="2">
        <v>20000</v>
      </c>
      <c r="O42" s="2">
        <v>23500</v>
      </c>
      <c r="P42" s="2">
        <v>15000</v>
      </c>
      <c r="Q42" s="2">
        <v>15000</v>
      </c>
      <c r="R42" s="64">
        <f t="shared" si="3"/>
        <v>-0.25</v>
      </c>
    </row>
    <row r="43" spans="1:18" ht="12.75">
      <c r="A43" t="s">
        <v>68</v>
      </c>
      <c r="B43" s="4">
        <v>53.176</v>
      </c>
      <c r="C43" s="2">
        <v>1456</v>
      </c>
      <c r="D43" s="2">
        <v>1476</v>
      </c>
      <c r="E43" s="2">
        <v>2211</v>
      </c>
      <c r="F43" s="2">
        <v>1819</v>
      </c>
      <c r="G43" s="2">
        <v>1923</v>
      </c>
      <c r="H43" s="2">
        <v>2001</v>
      </c>
      <c r="I43" s="2">
        <v>2046</v>
      </c>
      <c r="J43" s="2">
        <v>2218</v>
      </c>
      <c r="K43" s="2">
        <v>2428</v>
      </c>
      <c r="L43" s="2">
        <v>1368</v>
      </c>
      <c r="M43" s="2">
        <f t="shared" si="2"/>
        <v>2736</v>
      </c>
      <c r="N43" s="2">
        <v>2500</v>
      </c>
      <c r="O43" s="2">
        <v>3000</v>
      </c>
      <c r="P43" s="2">
        <v>2800</v>
      </c>
      <c r="Q43" s="2">
        <v>2800</v>
      </c>
      <c r="R43" s="64">
        <f t="shared" si="3"/>
        <v>0.12</v>
      </c>
    </row>
    <row r="44" spans="1:18" ht="12.75">
      <c r="A44" t="s">
        <v>69</v>
      </c>
      <c r="B44" s="4">
        <v>53.177</v>
      </c>
      <c r="C44" s="2">
        <v>5794</v>
      </c>
      <c r="D44" s="2">
        <v>6473</v>
      </c>
      <c r="E44" s="2">
        <v>5618</v>
      </c>
      <c r="F44" s="2">
        <v>7543</v>
      </c>
      <c r="G44" s="2">
        <v>6896</v>
      </c>
      <c r="H44" s="2">
        <v>5663</v>
      </c>
      <c r="I44" s="2">
        <v>6511</v>
      </c>
      <c r="J44" s="2">
        <v>8338</v>
      </c>
      <c r="K44" s="2">
        <v>7056</v>
      </c>
      <c r="L44" s="2">
        <v>3577</v>
      </c>
      <c r="M44" s="2">
        <f t="shared" si="2"/>
        <v>7154</v>
      </c>
      <c r="N44" s="2">
        <v>7500</v>
      </c>
      <c r="O44" s="2">
        <v>7500</v>
      </c>
      <c r="P44" s="2">
        <v>7500</v>
      </c>
      <c r="Q44" s="2">
        <v>7500</v>
      </c>
      <c r="R44" s="64">
        <f t="shared" si="3"/>
        <v>0</v>
      </c>
    </row>
    <row r="45" spans="1:18" ht="12.75">
      <c r="A45" t="s">
        <v>82</v>
      </c>
      <c r="B45" s="4">
        <v>53.178</v>
      </c>
      <c r="C45" s="2">
        <v>958</v>
      </c>
      <c r="D45" s="2">
        <v>957</v>
      </c>
      <c r="E45" s="2">
        <v>248</v>
      </c>
      <c r="F45" s="2">
        <v>594</v>
      </c>
      <c r="G45" s="2">
        <v>736</v>
      </c>
      <c r="H45" s="2">
        <v>200</v>
      </c>
      <c r="I45" s="2">
        <v>814</v>
      </c>
      <c r="J45" s="2">
        <v>1077</v>
      </c>
      <c r="K45" s="2">
        <v>1172</v>
      </c>
      <c r="L45" s="2">
        <v>600</v>
      </c>
      <c r="M45" s="2">
        <f t="shared" si="2"/>
        <v>1200</v>
      </c>
      <c r="N45" s="2">
        <v>1000</v>
      </c>
      <c r="O45" s="2">
        <v>1200</v>
      </c>
      <c r="P45" s="2">
        <v>1000</v>
      </c>
      <c r="Q45" s="2">
        <v>1000</v>
      </c>
      <c r="R45" s="64">
        <f t="shared" si="3"/>
        <v>0</v>
      </c>
    </row>
    <row r="46" spans="1:18" ht="12.75">
      <c r="A46" t="s">
        <v>70</v>
      </c>
      <c r="B46" s="4">
        <v>53.179</v>
      </c>
      <c r="C46" s="2">
        <v>25195</v>
      </c>
      <c r="D46" s="2">
        <v>38649</v>
      </c>
      <c r="E46" s="2">
        <v>40045</v>
      </c>
      <c r="F46" s="2">
        <v>33000</v>
      </c>
      <c r="G46" s="2">
        <v>45528</v>
      </c>
      <c r="H46" s="2">
        <v>54682</v>
      </c>
      <c r="I46" s="2">
        <v>78539</v>
      </c>
      <c r="J46" s="2">
        <v>102493</v>
      </c>
      <c r="K46" s="2">
        <f>96616+109</f>
        <v>96725</v>
      </c>
      <c r="L46" s="2">
        <v>57402</v>
      </c>
      <c r="M46" s="2">
        <f t="shared" si="2"/>
        <v>114804</v>
      </c>
      <c r="N46" s="2">
        <v>100000</v>
      </c>
      <c r="O46" s="2">
        <v>150000</v>
      </c>
      <c r="P46" s="2">
        <v>120000</v>
      </c>
      <c r="Q46" s="2">
        <v>120000</v>
      </c>
      <c r="R46" s="64">
        <f t="shared" si="3"/>
        <v>0.2</v>
      </c>
    </row>
    <row r="47" spans="2:18" ht="12.75"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64"/>
    </row>
    <row r="48" spans="1:19" ht="12.75">
      <c r="A48" t="s">
        <v>120</v>
      </c>
      <c r="B48" s="4">
        <v>54.22</v>
      </c>
      <c r="C48" s="2"/>
      <c r="D48" s="2">
        <v>58216</v>
      </c>
      <c r="E48" s="2">
        <v>61325</v>
      </c>
      <c r="F48" s="2">
        <v>46045</v>
      </c>
      <c r="G48" s="2">
        <v>158849</v>
      </c>
      <c r="H48" s="2">
        <v>92453</v>
      </c>
      <c r="I48" s="2">
        <v>78800</v>
      </c>
      <c r="J48" s="2">
        <v>74113</v>
      </c>
      <c r="K48" s="2">
        <f>95821+12539</f>
        <v>108360</v>
      </c>
      <c r="L48" s="2">
        <v>-9823</v>
      </c>
      <c r="M48" s="2"/>
      <c r="N48" s="2"/>
      <c r="O48" s="2">
        <v>30000</v>
      </c>
      <c r="P48" s="2">
        <v>30000</v>
      </c>
      <c r="Q48" s="2"/>
      <c r="R48" s="64" t="e">
        <f>(Q48-N48)/N48</f>
        <v>#DIV/0!</v>
      </c>
      <c r="S48" s="2" t="s">
        <v>743</v>
      </c>
    </row>
    <row r="49" spans="1:18" ht="12.75">
      <c r="A49" t="s">
        <v>121</v>
      </c>
      <c r="B49" s="4">
        <v>54.24</v>
      </c>
      <c r="C49" s="2"/>
      <c r="D49" s="2"/>
      <c r="E49" s="2">
        <v>905</v>
      </c>
      <c r="F49" s="2"/>
      <c r="G49" s="2"/>
      <c r="H49" s="2">
        <v>2400</v>
      </c>
      <c r="I49" s="2">
        <v>1684</v>
      </c>
      <c r="J49" s="2">
        <v>638</v>
      </c>
      <c r="K49" s="2">
        <v>195</v>
      </c>
      <c r="L49" s="2"/>
      <c r="M49" s="2"/>
      <c r="N49" s="2">
        <v>1000</v>
      </c>
      <c r="O49" s="2">
        <v>1000</v>
      </c>
      <c r="P49" s="2"/>
      <c r="Q49" s="2"/>
      <c r="R49" s="64"/>
    </row>
    <row r="50" spans="1:18" ht="12.75">
      <c r="A50" t="s">
        <v>264</v>
      </c>
      <c r="B50" s="4">
        <v>54.25</v>
      </c>
      <c r="E50" s="2">
        <v>6351</v>
      </c>
      <c r="F50" s="2"/>
      <c r="G50" s="2">
        <v>6325</v>
      </c>
      <c r="H50" s="2"/>
      <c r="I50" s="2"/>
      <c r="J50" s="2"/>
      <c r="K50" s="2"/>
      <c r="L50" s="2"/>
      <c r="N50" s="2"/>
      <c r="O50" s="2"/>
      <c r="P50" s="2"/>
      <c r="Q50" s="2"/>
      <c r="R50" s="64"/>
    </row>
    <row r="51" spans="1:18" ht="12.75">
      <c r="A51" t="s">
        <v>267</v>
      </c>
      <c r="B51" s="4">
        <v>54.255</v>
      </c>
      <c r="E51" s="2"/>
      <c r="F51" s="2"/>
      <c r="G51" s="2">
        <v>9661</v>
      </c>
      <c r="H51" s="2">
        <v>2903</v>
      </c>
      <c r="I51" s="2">
        <v>4533</v>
      </c>
      <c r="J51" s="2">
        <v>66</v>
      </c>
      <c r="K51" s="2">
        <v>273</v>
      </c>
      <c r="L51" s="2">
        <v>1832</v>
      </c>
      <c r="M51" s="2">
        <v>1832</v>
      </c>
      <c r="N51" s="20">
        <v>7500</v>
      </c>
      <c r="O51" s="2">
        <v>7500</v>
      </c>
      <c r="P51" s="2">
        <v>4100</v>
      </c>
      <c r="Q51" s="2">
        <v>4100</v>
      </c>
      <c r="R51" s="64"/>
    </row>
    <row r="52" spans="1:19" ht="12.75">
      <c r="A52" t="s">
        <v>123</v>
      </c>
      <c r="B52" s="4">
        <v>54.261</v>
      </c>
      <c r="C52" s="2"/>
      <c r="D52" s="2"/>
      <c r="E52" s="2">
        <v>8000</v>
      </c>
      <c r="F52" s="2">
        <v>456</v>
      </c>
      <c r="G52" s="2">
        <v>1001</v>
      </c>
      <c r="H52" s="2">
        <v>549</v>
      </c>
      <c r="I52" s="2"/>
      <c r="J52" s="2">
        <v>9383</v>
      </c>
      <c r="K52" s="2"/>
      <c r="L52" s="2">
        <v>723</v>
      </c>
      <c r="M52" s="2">
        <v>723</v>
      </c>
      <c r="N52" s="2">
        <v>1500</v>
      </c>
      <c r="O52" s="2">
        <v>13100</v>
      </c>
      <c r="P52" s="2">
        <v>13100</v>
      </c>
      <c r="Q52" s="2">
        <v>13100</v>
      </c>
      <c r="R52" s="64">
        <f>(Q52-N52)/N52</f>
        <v>7.733333333333333</v>
      </c>
      <c r="S52" t="s">
        <v>726</v>
      </c>
    </row>
    <row r="53" spans="1:18" ht="12.75">
      <c r="A53" t="s">
        <v>124</v>
      </c>
      <c r="B53" s="4">
        <v>54.261</v>
      </c>
      <c r="C53" s="5"/>
      <c r="D53" s="5"/>
      <c r="E53" s="2">
        <v>4495</v>
      </c>
      <c r="F53" s="5"/>
      <c r="G53" s="5"/>
      <c r="H53" s="5"/>
      <c r="I53" s="5"/>
      <c r="J53" s="5"/>
      <c r="K53" s="5"/>
      <c r="L53" s="2"/>
      <c r="M53" s="2"/>
      <c r="N53" s="2"/>
      <c r="O53" s="2"/>
      <c r="P53" s="2"/>
      <c r="Q53" s="2"/>
      <c r="R53" s="64"/>
    </row>
    <row r="54" spans="1:19" ht="12.75">
      <c r="A54" t="s">
        <v>455</v>
      </c>
      <c r="B54" s="4">
        <v>54.262</v>
      </c>
      <c r="C54" s="5"/>
      <c r="D54" s="5"/>
      <c r="E54" s="2"/>
      <c r="F54" s="5"/>
      <c r="G54" s="5"/>
      <c r="H54" s="5"/>
      <c r="I54" s="2">
        <v>1149</v>
      </c>
      <c r="J54" s="2"/>
      <c r="K54" s="2"/>
      <c r="L54" s="2"/>
      <c r="M54" s="2"/>
      <c r="N54" s="2">
        <v>3000</v>
      </c>
      <c r="O54" s="2">
        <v>3000</v>
      </c>
      <c r="P54" s="2">
        <v>3000</v>
      </c>
      <c r="Q54" s="2"/>
      <c r="R54" s="64"/>
      <c r="S54" t="s">
        <v>722</v>
      </c>
    </row>
    <row r="55" spans="1:18" ht="12.75">
      <c r="A55" t="s">
        <v>536</v>
      </c>
      <c r="B55" s="4">
        <v>54.2622</v>
      </c>
      <c r="C55" s="5"/>
      <c r="D55" s="5"/>
      <c r="E55" s="2"/>
      <c r="F55" s="5"/>
      <c r="G55" s="5"/>
      <c r="H55" s="5"/>
      <c r="I55" s="2"/>
      <c r="J55" s="2">
        <v>19635</v>
      </c>
      <c r="K55" s="2">
        <v>3000</v>
      </c>
      <c r="L55" s="2">
        <v>3000</v>
      </c>
      <c r="M55" s="2">
        <v>3000</v>
      </c>
      <c r="N55" s="2">
        <v>3000</v>
      </c>
      <c r="O55" s="2">
        <v>3000</v>
      </c>
      <c r="P55" s="2">
        <v>3000</v>
      </c>
      <c r="Q55" s="2">
        <v>3000</v>
      </c>
      <c r="R55" s="64"/>
    </row>
    <row r="56" spans="1:18" ht="12.75">
      <c r="A56" t="s">
        <v>507</v>
      </c>
      <c r="B56" s="4"/>
      <c r="C56" s="5"/>
      <c r="D56" s="5"/>
      <c r="E56" s="5"/>
      <c r="F56" s="5"/>
      <c r="G56" s="5"/>
      <c r="H56" s="5"/>
      <c r="I56" s="5"/>
      <c r="J56" s="5"/>
      <c r="K56" s="5"/>
      <c r="M56" s="2"/>
      <c r="N56" s="2"/>
      <c r="O56" s="2"/>
      <c r="P56" s="2"/>
      <c r="Q56" s="2"/>
      <c r="R56" s="64"/>
    </row>
    <row r="57" spans="1:18" ht="12.75">
      <c r="A57" t="s">
        <v>265</v>
      </c>
      <c r="B57" s="4">
        <v>57.109</v>
      </c>
      <c r="C57" s="5"/>
      <c r="D57" s="5"/>
      <c r="E57" s="2">
        <v>930</v>
      </c>
      <c r="F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64"/>
    </row>
    <row r="58" spans="1:19" ht="12.75">
      <c r="A58" t="s">
        <v>122</v>
      </c>
      <c r="B58" s="4">
        <v>57.217</v>
      </c>
      <c r="C58" s="2">
        <v>8943</v>
      </c>
      <c r="D58" s="2">
        <v>8067</v>
      </c>
      <c r="E58" s="2">
        <v>8943</v>
      </c>
      <c r="F58" s="2">
        <v>12159</v>
      </c>
      <c r="G58" s="2">
        <v>12159</v>
      </c>
      <c r="H58" s="2">
        <v>12159</v>
      </c>
      <c r="I58" s="2">
        <v>12159</v>
      </c>
      <c r="J58" s="2"/>
      <c r="K58" s="2"/>
      <c r="L58" s="2"/>
      <c r="M58" s="2"/>
      <c r="N58" s="2"/>
      <c r="O58" s="2"/>
      <c r="P58" s="2"/>
      <c r="Q58" s="2"/>
      <c r="R58" s="64" t="e">
        <f>(Q58-N58)/N58</f>
        <v>#DIV/0!</v>
      </c>
      <c r="S58" s="2"/>
    </row>
    <row r="59" spans="1:18" ht="12.75">
      <c r="A59" t="s">
        <v>470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2"/>
      <c r="P59" s="2"/>
      <c r="Q59" s="5"/>
      <c r="R59" s="64"/>
    </row>
    <row r="60" spans="1:18" ht="12.75">
      <c r="A60" s="6" t="s">
        <v>23</v>
      </c>
      <c r="B60" s="6"/>
      <c r="C60" s="8">
        <f aca="true" t="shared" si="4" ref="C60:I60">SUM(C7:C59)</f>
        <v>874821</v>
      </c>
      <c r="D60" s="8">
        <f t="shared" si="4"/>
        <v>975291</v>
      </c>
      <c r="E60" s="8">
        <f t="shared" si="4"/>
        <v>996230</v>
      </c>
      <c r="F60" s="8">
        <f t="shared" si="4"/>
        <v>1052328</v>
      </c>
      <c r="G60" s="8">
        <f t="shared" si="4"/>
        <v>1244997</v>
      </c>
      <c r="H60" s="8">
        <f t="shared" si="4"/>
        <v>1192747</v>
      </c>
      <c r="I60" s="8">
        <f t="shared" si="4"/>
        <v>1258971</v>
      </c>
      <c r="J60" s="8">
        <v>1447823</v>
      </c>
      <c r="K60" s="8">
        <f aca="true" t="shared" si="5" ref="K60:Q60">SUM(K7:K59)</f>
        <v>1458397</v>
      </c>
      <c r="L60" s="8">
        <f t="shared" si="5"/>
        <v>672024</v>
      </c>
      <c r="M60" s="8">
        <f t="shared" si="5"/>
        <v>1370099</v>
      </c>
      <c r="N60" s="8">
        <f t="shared" si="5"/>
        <v>1550976.02117115</v>
      </c>
      <c r="O60" s="8">
        <f t="shared" si="5"/>
        <v>1668840.2705992372</v>
      </c>
      <c r="P60" s="8">
        <f t="shared" si="5"/>
        <v>1622340.2705992372</v>
      </c>
      <c r="Q60" s="8">
        <f t="shared" si="5"/>
        <v>1551450.838627862</v>
      </c>
      <c r="R60" s="68">
        <f>(Q60-N60)/N60</f>
        <v>0.0003061410687403651</v>
      </c>
    </row>
    <row r="62" spans="14:16" ht="12.75">
      <c r="N62" s="21" t="s">
        <v>357</v>
      </c>
      <c r="O62" s="21"/>
      <c r="P62" s="53">
        <f>O60-P60</f>
        <v>46500</v>
      </c>
    </row>
    <row r="63" spans="14:16" ht="12.75">
      <c r="N63" s="21" t="s">
        <v>545</v>
      </c>
      <c r="O63" s="21"/>
      <c r="P63" s="53">
        <f>N60-P60</f>
        <v>-71364.24942808715</v>
      </c>
    </row>
    <row r="64" spans="14:16" ht="12.75">
      <c r="N64" s="21" t="s">
        <v>307</v>
      </c>
      <c r="O64" s="21"/>
      <c r="P64" s="53">
        <f>P60-Q60</f>
        <v>70889.43197137513</v>
      </c>
    </row>
    <row r="65" ht="12.75">
      <c r="A65" s="6"/>
    </row>
    <row r="67" ht="12.75">
      <c r="A67" t="s">
        <v>725</v>
      </c>
    </row>
    <row r="68" ht="12.75">
      <c r="A68" t="s">
        <v>431</v>
      </c>
    </row>
    <row r="69" ht="12.75">
      <c r="A69" t="s">
        <v>640</v>
      </c>
    </row>
    <row r="70" ht="12.75">
      <c r="A70" t="s">
        <v>727</v>
      </c>
    </row>
    <row r="71" ht="12.75">
      <c r="A71" t="s">
        <v>479</v>
      </c>
    </row>
    <row r="72" ht="12.75">
      <c r="A72" t="s">
        <v>618</v>
      </c>
    </row>
    <row r="73" ht="12.75">
      <c r="A73" t="s">
        <v>740</v>
      </c>
    </row>
    <row r="74" ht="12.75">
      <c r="A74" s="44" t="s">
        <v>744</v>
      </c>
    </row>
    <row r="76" ht="12.75">
      <c r="A76" t="s">
        <v>769</v>
      </c>
    </row>
    <row r="87" ht="12.75">
      <c r="R87" s="2"/>
    </row>
    <row r="88" ht="12.75">
      <c r="R88" s="2"/>
    </row>
    <row r="89" ht="12.75">
      <c r="R89" s="2"/>
    </row>
    <row r="90" ht="12.75">
      <c r="R90" s="2"/>
    </row>
    <row r="91" ht="12.75">
      <c r="R91" s="2"/>
    </row>
    <row r="92" ht="12.75">
      <c r="R92" s="2"/>
    </row>
    <row r="109" spans="3:17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</sheetData>
  <printOptions gridLines="1"/>
  <pageMargins left="0.25" right="0.25" top="1" bottom="0.55" header="0.5" footer="0.25"/>
  <pageSetup fitToHeight="2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S91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2.00390625" style="0" hidden="1" customWidth="1"/>
    <col min="4" max="8" width="11.7109375" style="0" hidden="1" customWidth="1"/>
    <col min="9" max="12" width="11.7109375" style="0" customWidth="1"/>
    <col min="13" max="13" width="13.421875" style="0" bestFit="1" customWidth="1"/>
    <col min="14" max="16" width="11.7109375" style="0" customWidth="1"/>
    <col min="17" max="17" width="12.0039062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335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8" ht="12.75">
      <c r="A7" s="21" t="s">
        <v>491</v>
      </c>
      <c r="B7" s="4">
        <v>51.11</v>
      </c>
      <c r="C7" s="2">
        <v>330133</v>
      </c>
      <c r="D7" s="2">
        <v>311784</v>
      </c>
      <c r="E7" s="2">
        <v>363351</v>
      </c>
      <c r="F7" s="2">
        <v>418363</v>
      </c>
      <c r="G7" s="2">
        <v>423055</v>
      </c>
      <c r="H7" s="2">
        <v>365290</v>
      </c>
      <c r="I7" s="2">
        <v>317825</v>
      </c>
      <c r="J7" s="2">
        <v>345630</v>
      </c>
      <c r="K7" s="2">
        <v>360057</v>
      </c>
      <c r="L7" s="2">
        <v>176526</v>
      </c>
      <c r="M7" s="2">
        <f>+L7/$L$3*12</f>
        <v>353052</v>
      </c>
      <c r="N7" s="2">
        <v>456949.4689999999</v>
      </c>
      <c r="O7" s="2">
        <v>426903.22</v>
      </c>
      <c r="P7" s="2">
        <v>426903.22</v>
      </c>
      <c r="Q7" s="2">
        <v>426903.22</v>
      </c>
      <c r="R7" s="64">
        <f aca="true" t="shared" si="0" ref="R7:R42">(Q7-N7)/N7</f>
        <v>-0.06575398602771974</v>
      </c>
    </row>
    <row r="8" spans="1:18" ht="12.75">
      <c r="A8" t="s">
        <v>385</v>
      </c>
      <c r="B8" s="4">
        <v>51.1105</v>
      </c>
      <c r="C8" s="2"/>
      <c r="D8" s="2"/>
      <c r="E8" s="2"/>
      <c r="F8" s="2"/>
      <c r="G8" s="2"/>
      <c r="H8" s="2">
        <v>116957</v>
      </c>
      <c r="I8" s="2">
        <v>160877</v>
      </c>
      <c r="J8" s="2">
        <v>162335</v>
      </c>
      <c r="K8" s="2">
        <v>213532</v>
      </c>
      <c r="L8" s="2">
        <v>97765</v>
      </c>
      <c r="M8" s="2">
        <f>+L8/$L$3*12</f>
        <v>195530</v>
      </c>
      <c r="N8" s="2">
        <v>116699</v>
      </c>
      <c r="O8" s="2">
        <v>115000</v>
      </c>
      <c r="P8" s="2">
        <v>115000</v>
      </c>
      <c r="Q8" s="2">
        <v>115000</v>
      </c>
      <c r="R8" s="64">
        <f t="shared" si="0"/>
        <v>-0.014558822269256805</v>
      </c>
    </row>
    <row r="9" spans="1:18" ht="12.75">
      <c r="A9" t="s">
        <v>533</v>
      </c>
      <c r="B9" s="4">
        <v>51.1136</v>
      </c>
      <c r="C9" s="2"/>
      <c r="D9" s="2"/>
      <c r="E9" s="2"/>
      <c r="F9" s="2"/>
      <c r="G9" s="2"/>
      <c r="H9" s="2"/>
      <c r="I9" s="2"/>
      <c r="J9" s="2">
        <v>4902</v>
      </c>
      <c r="K9" s="2">
        <v>3843</v>
      </c>
      <c r="L9" s="2"/>
      <c r="M9" s="2">
        <v>4000</v>
      </c>
      <c r="N9" s="2">
        <v>4000</v>
      </c>
      <c r="O9" s="2">
        <v>4000</v>
      </c>
      <c r="P9" s="2">
        <v>4000</v>
      </c>
      <c r="Q9" s="2">
        <v>4000</v>
      </c>
      <c r="R9" s="64">
        <f t="shared" si="0"/>
        <v>0</v>
      </c>
    </row>
    <row r="10" spans="1:18" ht="12.75">
      <c r="A10" t="s">
        <v>43</v>
      </c>
      <c r="B10" s="4">
        <v>51.13</v>
      </c>
      <c r="C10" s="2">
        <v>21390</v>
      </c>
      <c r="D10" s="2">
        <v>18800</v>
      </c>
      <c r="E10" s="2">
        <v>21573</v>
      </c>
      <c r="F10" s="2">
        <v>26468</v>
      </c>
      <c r="G10" s="2">
        <v>21398</v>
      </c>
      <c r="H10" s="2">
        <v>14379</v>
      </c>
      <c r="I10" s="2">
        <v>21846</v>
      </c>
      <c r="J10" s="2">
        <v>23615</v>
      </c>
      <c r="K10" s="2">
        <v>21639</v>
      </c>
      <c r="L10" s="2">
        <v>7819</v>
      </c>
      <c r="M10" s="2">
        <f>+L10/$L$3*12</f>
        <v>15638</v>
      </c>
      <c r="N10" s="2">
        <v>26000</v>
      </c>
      <c r="O10" s="2">
        <v>20000</v>
      </c>
      <c r="P10" s="2">
        <v>20000</v>
      </c>
      <c r="Q10" s="2">
        <v>20000</v>
      </c>
      <c r="R10" s="64">
        <f t="shared" si="0"/>
        <v>-0.23076923076923078</v>
      </c>
    </row>
    <row r="11" spans="1:19" ht="12.75">
      <c r="A11" t="s">
        <v>681</v>
      </c>
      <c r="B11" s="4">
        <v>51.21</v>
      </c>
      <c r="C11" s="2">
        <v>26868</v>
      </c>
      <c r="D11" s="2">
        <v>25367</v>
      </c>
      <c r="E11" s="2">
        <v>30099</v>
      </c>
      <c r="F11" s="2">
        <v>32045</v>
      </c>
      <c r="G11" s="2">
        <v>35193</v>
      </c>
      <c r="H11" s="2">
        <v>40938</v>
      </c>
      <c r="I11" s="2">
        <v>43369</v>
      </c>
      <c r="J11" s="2">
        <v>52386</v>
      </c>
      <c r="K11" s="2">
        <v>64465</v>
      </c>
      <c r="L11" s="2">
        <v>32684</v>
      </c>
      <c r="M11" s="2">
        <f>+L11/$L$3*12</f>
        <v>65368</v>
      </c>
      <c r="N11" s="29">
        <v>69497.51759999999</v>
      </c>
      <c r="O11" s="29">
        <f>16*4800</f>
        <v>76800</v>
      </c>
      <c r="P11" s="29">
        <f>16*4800</f>
        <v>76800</v>
      </c>
      <c r="Q11" s="29">
        <f>16*4800</f>
        <v>76800</v>
      </c>
      <c r="R11" s="64">
        <f>(Q11-N11)/N11</f>
        <v>0.10507544229176913</v>
      </c>
      <c r="S11" t="s">
        <v>605</v>
      </c>
    </row>
    <row r="12" spans="1:18" ht="12.75">
      <c r="A12" t="s">
        <v>30</v>
      </c>
      <c r="B12" s="4">
        <v>51.22</v>
      </c>
      <c r="C12" s="2">
        <v>26717</v>
      </c>
      <c r="D12" s="2">
        <v>25090</v>
      </c>
      <c r="E12" s="2">
        <v>29078</v>
      </c>
      <c r="F12" s="2">
        <v>34072</v>
      </c>
      <c r="G12" s="2">
        <v>33504</v>
      </c>
      <c r="H12" s="2">
        <v>37316</v>
      </c>
      <c r="I12" s="2">
        <v>37088</v>
      </c>
      <c r="J12" s="2">
        <v>39627</v>
      </c>
      <c r="K12" s="2">
        <v>44601</v>
      </c>
      <c r="L12" s="2">
        <v>20988</v>
      </c>
      <c r="M12" s="2">
        <f>+L12/$L$3*12</f>
        <v>41976</v>
      </c>
      <c r="N12" s="2">
        <v>46179.10787849999</v>
      </c>
      <c r="O12" s="2">
        <f>(O7+O8+O9+O10)*0.0765</f>
        <v>43291.59633</v>
      </c>
      <c r="P12" s="2">
        <f>(P7+P8+P9+P10)*0.0765</f>
        <v>43291.59633</v>
      </c>
      <c r="Q12" s="2">
        <f>(Q7+Q8+Q9+Q10)*0.0765</f>
        <v>43291.59633</v>
      </c>
      <c r="R12" s="64">
        <f t="shared" si="0"/>
        <v>-0.0625285260186751</v>
      </c>
    </row>
    <row r="13" spans="1:18" ht="12.75">
      <c r="A13" t="s">
        <v>126</v>
      </c>
      <c r="B13" s="4">
        <v>51.24</v>
      </c>
      <c r="C13" s="2">
        <v>699</v>
      </c>
      <c r="D13" s="2">
        <v>543</v>
      </c>
      <c r="E13" s="2">
        <v>519</v>
      </c>
      <c r="F13" s="2">
        <v>888</v>
      </c>
      <c r="G13" s="2">
        <v>1241</v>
      </c>
      <c r="H13" s="2">
        <v>1857</v>
      </c>
      <c r="I13" s="2">
        <v>2063</v>
      </c>
      <c r="J13" s="2">
        <v>2814</v>
      </c>
      <c r="K13" s="2">
        <v>3937</v>
      </c>
      <c r="L13" s="2">
        <v>1581</v>
      </c>
      <c r="M13" s="2">
        <f>+L13/$L$3*12</f>
        <v>3162</v>
      </c>
      <c r="N13" s="2">
        <v>4000</v>
      </c>
      <c r="O13" s="2">
        <v>4000</v>
      </c>
      <c r="P13" s="2">
        <v>4000</v>
      </c>
      <c r="Q13" s="2">
        <v>4000</v>
      </c>
      <c r="R13" s="64">
        <f t="shared" si="0"/>
        <v>0</v>
      </c>
    </row>
    <row r="14" spans="1:19" ht="12.75">
      <c r="A14" t="s">
        <v>527</v>
      </c>
      <c r="B14" s="4"/>
      <c r="C14" s="2"/>
      <c r="D14" s="2"/>
      <c r="E14" s="2"/>
      <c r="F14" s="2"/>
      <c r="G14" s="2"/>
      <c r="H14" s="2"/>
      <c r="I14" s="2">
        <v>5244</v>
      </c>
      <c r="J14" s="2"/>
      <c r="K14" s="2"/>
      <c r="L14" s="2"/>
      <c r="M14" s="2"/>
      <c r="N14" s="2"/>
      <c r="O14" s="2"/>
      <c r="P14" s="2"/>
      <c r="Q14" s="2"/>
      <c r="R14" s="64"/>
      <c r="S14" s="2"/>
    </row>
    <row r="15" spans="2:18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64"/>
    </row>
    <row r="16" spans="1:18" ht="12.75">
      <c r="A16" t="s">
        <v>127</v>
      </c>
      <c r="B16" s="4">
        <v>52.126</v>
      </c>
      <c r="C16" s="2">
        <v>35223</v>
      </c>
      <c r="D16" s="2">
        <v>24176</v>
      </c>
      <c r="E16" s="2">
        <v>46119</v>
      </c>
      <c r="F16" s="2">
        <v>64176</v>
      </c>
      <c r="G16" s="2">
        <v>53263</v>
      </c>
      <c r="H16" s="2">
        <v>43493</v>
      </c>
      <c r="I16" s="2">
        <v>38801</v>
      </c>
      <c r="J16" s="2">
        <v>67585</v>
      </c>
      <c r="K16" s="2">
        <f>56893+2071</f>
        <v>58964</v>
      </c>
      <c r="L16" s="2">
        <v>23875</v>
      </c>
      <c r="M16" s="2">
        <f>+L16/$L$3*12</f>
        <v>47750</v>
      </c>
      <c r="N16" s="2">
        <v>50000</v>
      </c>
      <c r="O16" s="2">
        <v>55000</v>
      </c>
      <c r="P16" s="2">
        <v>50000</v>
      </c>
      <c r="Q16" s="2">
        <v>50000</v>
      </c>
      <c r="R16" s="64">
        <f t="shared" si="0"/>
        <v>0</v>
      </c>
    </row>
    <row r="17" spans="1:18" ht="12.75">
      <c r="A17" t="s">
        <v>87</v>
      </c>
      <c r="B17" s="4">
        <v>52.211</v>
      </c>
      <c r="C17" s="2"/>
      <c r="D17" s="2"/>
      <c r="E17" s="2">
        <v>1500</v>
      </c>
      <c r="F17" s="2">
        <v>2260</v>
      </c>
      <c r="G17" s="2">
        <v>2159</v>
      </c>
      <c r="H17" s="2">
        <v>2492</v>
      </c>
      <c r="I17" s="2">
        <v>2304</v>
      </c>
      <c r="J17" s="2">
        <v>3576</v>
      </c>
      <c r="K17" s="2">
        <v>2540</v>
      </c>
      <c r="L17" s="2">
        <v>918</v>
      </c>
      <c r="M17" s="2">
        <f>+L17/$L$3*12</f>
        <v>1836</v>
      </c>
      <c r="N17" s="2">
        <v>3000</v>
      </c>
      <c r="O17" s="2">
        <v>1500</v>
      </c>
      <c r="P17" s="2">
        <v>1500</v>
      </c>
      <c r="Q17" s="2">
        <v>1500</v>
      </c>
      <c r="R17" s="64">
        <f t="shared" si="0"/>
        <v>-0.5</v>
      </c>
    </row>
    <row r="18" spans="1:18" ht="12.75">
      <c r="A18" t="s">
        <v>128</v>
      </c>
      <c r="B18" s="4">
        <v>52.22</v>
      </c>
      <c r="C18" s="2">
        <v>8563</v>
      </c>
      <c r="D18" s="2">
        <v>7582</v>
      </c>
      <c r="E18" s="2">
        <v>3873</v>
      </c>
      <c r="F18" s="2"/>
      <c r="G18" s="2">
        <v>2624</v>
      </c>
      <c r="H18" s="2">
        <v>1150</v>
      </c>
      <c r="I18" s="2">
        <v>2358</v>
      </c>
      <c r="J18" s="2">
        <v>2446</v>
      </c>
      <c r="K18" s="2">
        <v>5540</v>
      </c>
      <c r="L18" s="2">
        <v>1394</v>
      </c>
      <c r="M18" s="2">
        <f>+L18/$L$3*12</f>
        <v>2788</v>
      </c>
      <c r="N18" s="2">
        <v>2500</v>
      </c>
      <c r="O18" s="2">
        <v>3500</v>
      </c>
      <c r="P18" s="2">
        <v>2500</v>
      </c>
      <c r="Q18" s="2">
        <v>2500</v>
      </c>
      <c r="R18" s="64">
        <f t="shared" si="0"/>
        <v>0</v>
      </c>
    </row>
    <row r="19" spans="1:18" ht="12.75">
      <c r="A19" t="s">
        <v>89</v>
      </c>
      <c r="B19" s="4">
        <v>52.2201</v>
      </c>
      <c r="C19" s="2"/>
      <c r="D19" s="2"/>
      <c r="E19" s="2">
        <v>670</v>
      </c>
      <c r="F19" s="2">
        <v>2247</v>
      </c>
      <c r="G19" s="2">
        <v>180</v>
      </c>
      <c r="H19" s="2">
        <v>160</v>
      </c>
      <c r="I19" s="2">
        <v>160</v>
      </c>
      <c r="J19" s="2"/>
      <c r="K19" s="2">
        <v>1749</v>
      </c>
      <c r="L19" s="2"/>
      <c r="M19" s="2"/>
      <c r="N19" s="2"/>
      <c r="O19" s="2"/>
      <c r="P19" s="2"/>
      <c r="Q19" s="2"/>
      <c r="R19" s="64"/>
    </row>
    <row r="20" spans="1:18" ht="12.75" hidden="1">
      <c r="A20" t="s">
        <v>90</v>
      </c>
      <c r="B20" s="4">
        <v>52.2205</v>
      </c>
      <c r="C20" s="2">
        <v>2466</v>
      </c>
      <c r="D20" s="2">
        <v>2563</v>
      </c>
      <c r="E20" s="2">
        <v>1081</v>
      </c>
      <c r="F20" s="2">
        <v>230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4"/>
    </row>
    <row r="21" spans="1:18" ht="12.75" hidden="1">
      <c r="A21" t="s">
        <v>76</v>
      </c>
      <c r="B21" s="4">
        <v>52.2206</v>
      </c>
      <c r="C21" s="2"/>
      <c r="D21" s="2"/>
      <c r="E21" s="2"/>
      <c r="F21" s="2">
        <v>77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64"/>
    </row>
    <row r="22" spans="1:18" ht="12.75">
      <c r="A22" t="s">
        <v>33</v>
      </c>
      <c r="B22" s="4">
        <v>52.321</v>
      </c>
      <c r="C22" s="2"/>
      <c r="D22" s="2"/>
      <c r="E22" s="2">
        <v>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64" t="e">
        <f t="shared" si="0"/>
        <v>#DIV/0!</v>
      </c>
    </row>
    <row r="23" spans="1:18" ht="12.75">
      <c r="A23" t="s">
        <v>45</v>
      </c>
      <c r="B23" s="4">
        <v>52.35</v>
      </c>
      <c r="C23" s="2">
        <v>853</v>
      </c>
      <c r="D23" s="2">
        <v>625</v>
      </c>
      <c r="E23" s="2">
        <v>1211</v>
      </c>
      <c r="F23" s="2">
        <v>556</v>
      </c>
      <c r="G23" s="2">
        <v>211</v>
      </c>
      <c r="H23" s="2">
        <v>786</v>
      </c>
      <c r="I23" s="2">
        <v>609</v>
      </c>
      <c r="J23" s="2">
        <v>58</v>
      </c>
      <c r="K23" s="2">
        <v>342</v>
      </c>
      <c r="L23" s="11">
        <v>138</v>
      </c>
      <c r="M23" s="2">
        <f>+L23/$L$3*12</f>
        <v>276</v>
      </c>
      <c r="N23" s="2">
        <v>400</v>
      </c>
      <c r="O23" s="2">
        <v>400</v>
      </c>
      <c r="P23" s="2">
        <v>400</v>
      </c>
      <c r="Q23" s="2">
        <v>400</v>
      </c>
      <c r="R23" s="64">
        <f t="shared" si="0"/>
        <v>0</v>
      </c>
    </row>
    <row r="24" spans="1:18" ht="12.75" hidden="1">
      <c r="A24" t="s">
        <v>35</v>
      </c>
      <c r="B24" s="4">
        <v>52.3602</v>
      </c>
      <c r="C24" s="2"/>
      <c r="D24" s="2"/>
      <c r="E24" s="2">
        <v>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64"/>
    </row>
    <row r="25" spans="1:19" ht="12.75">
      <c r="A25" t="s">
        <v>46</v>
      </c>
      <c r="B25" s="4">
        <v>52.37</v>
      </c>
      <c r="C25" s="2"/>
      <c r="D25" s="2"/>
      <c r="E25" s="2">
        <v>105</v>
      </c>
      <c r="F25" s="2"/>
      <c r="G25" s="2">
        <v>576</v>
      </c>
      <c r="H25" s="2"/>
      <c r="I25" s="2"/>
      <c r="J25" s="2"/>
      <c r="K25" s="2">
        <v>480</v>
      </c>
      <c r="L25" s="2">
        <v>0</v>
      </c>
      <c r="M25" s="2"/>
      <c r="N25" s="2">
        <v>500</v>
      </c>
      <c r="O25" s="2">
        <v>500</v>
      </c>
      <c r="P25" s="2">
        <v>500</v>
      </c>
      <c r="Q25" s="2">
        <v>500</v>
      </c>
      <c r="R25" s="64"/>
      <c r="S25" s="10"/>
    </row>
    <row r="26" spans="2:19" ht="12.75">
      <c r="B26" s="4"/>
      <c r="C26" s="2"/>
      <c r="D26" s="2"/>
      <c r="E26" s="2"/>
      <c r="F26" s="2"/>
      <c r="G26" s="2"/>
      <c r="H26" s="2"/>
      <c r="I26" s="2"/>
      <c r="J26" s="2">
        <v>114</v>
      </c>
      <c r="K26" s="2"/>
      <c r="L26" s="2"/>
      <c r="M26" s="2"/>
      <c r="N26" s="2"/>
      <c r="O26" s="2"/>
      <c r="P26" s="2"/>
      <c r="Q26" s="2"/>
      <c r="R26" s="64"/>
      <c r="S26" s="10"/>
    </row>
    <row r="27" spans="1:18" ht="12.75">
      <c r="A27" t="s">
        <v>39</v>
      </c>
      <c r="B27" s="4">
        <v>53.12</v>
      </c>
      <c r="C27" s="2">
        <v>29019</v>
      </c>
      <c r="D27" s="2">
        <v>29793</v>
      </c>
      <c r="E27" s="2">
        <v>31934</v>
      </c>
      <c r="F27" s="2">
        <v>29883</v>
      </c>
      <c r="G27" s="2">
        <v>30335</v>
      </c>
      <c r="H27" s="2">
        <v>28069</v>
      </c>
      <c r="I27" s="2">
        <v>30918</v>
      </c>
      <c r="J27" s="2">
        <v>45697</v>
      </c>
      <c r="K27" s="2">
        <v>40455</v>
      </c>
      <c r="L27" s="2">
        <v>19184</v>
      </c>
      <c r="M27" s="2">
        <f>+L27/$L$3*12</f>
        <v>38368</v>
      </c>
      <c r="N27" s="2">
        <v>38000</v>
      </c>
      <c r="O27" s="2">
        <v>40000</v>
      </c>
      <c r="P27" s="2">
        <v>38000</v>
      </c>
      <c r="Q27" s="2">
        <v>38000</v>
      </c>
      <c r="R27" s="64">
        <f t="shared" si="0"/>
        <v>0</v>
      </c>
    </row>
    <row r="28" spans="1:18" ht="12.75">
      <c r="A28" t="s">
        <v>129</v>
      </c>
      <c r="B28" s="4">
        <v>53.131</v>
      </c>
      <c r="C28" s="2">
        <v>67525</v>
      </c>
      <c r="D28" s="2">
        <v>81806</v>
      </c>
      <c r="E28" s="2">
        <v>86317</v>
      </c>
      <c r="F28" s="2">
        <v>84937</v>
      </c>
      <c r="G28" s="2">
        <v>91524</v>
      </c>
      <c r="H28" s="2">
        <v>86825</v>
      </c>
      <c r="I28" s="2">
        <f>82041+8655</f>
        <v>90696</v>
      </c>
      <c r="J28" s="2">
        <v>111182</v>
      </c>
      <c r="K28" s="2">
        <v>105246</v>
      </c>
      <c r="L28" s="2">
        <v>51495</v>
      </c>
      <c r="M28" s="2">
        <f>+L28/$L$3*12</f>
        <v>102990</v>
      </c>
      <c r="N28" s="2">
        <v>100000</v>
      </c>
      <c r="O28" s="2">
        <v>115000</v>
      </c>
      <c r="P28" s="2">
        <v>103000</v>
      </c>
      <c r="Q28" s="2">
        <v>103000</v>
      </c>
      <c r="R28" s="64">
        <f t="shared" si="0"/>
        <v>0.03</v>
      </c>
    </row>
    <row r="29" spans="1:18" ht="12.75">
      <c r="A29" t="s">
        <v>91</v>
      </c>
      <c r="B29" s="4">
        <v>53.1702</v>
      </c>
      <c r="C29" s="2">
        <v>5998</v>
      </c>
      <c r="D29" s="2">
        <v>7279</v>
      </c>
      <c r="E29" s="2">
        <v>379</v>
      </c>
      <c r="F29" s="2"/>
      <c r="G29" s="2">
        <v>4350</v>
      </c>
      <c r="H29" s="2"/>
      <c r="I29" s="2">
        <v>668</v>
      </c>
      <c r="J29" s="2">
        <v>3172</v>
      </c>
      <c r="K29" s="2">
        <v>6906</v>
      </c>
      <c r="L29" s="2">
        <v>3942</v>
      </c>
      <c r="M29" s="2">
        <f>+L29/$L$3*12</f>
        <v>7884</v>
      </c>
      <c r="N29" s="2">
        <v>3000</v>
      </c>
      <c r="O29" s="2">
        <v>5500</v>
      </c>
      <c r="P29" s="2">
        <v>3000</v>
      </c>
      <c r="Q29" s="2">
        <v>3000</v>
      </c>
      <c r="R29" s="64">
        <f t="shared" si="0"/>
        <v>0</v>
      </c>
    </row>
    <row r="30" spans="1:18" ht="12.75" hidden="1">
      <c r="A30" t="s">
        <v>65</v>
      </c>
      <c r="B30" s="4">
        <v>53.1704</v>
      </c>
      <c r="C30" s="2"/>
      <c r="D30" s="2"/>
      <c r="E30" s="2">
        <v>141</v>
      </c>
      <c r="F30" s="2">
        <v>349</v>
      </c>
      <c r="G30" s="2"/>
      <c r="H30" s="2">
        <v>107</v>
      </c>
      <c r="I30" s="2"/>
      <c r="J30" s="2"/>
      <c r="K30" s="2"/>
      <c r="L30" s="2"/>
      <c r="M30" s="2"/>
      <c r="N30" s="2"/>
      <c r="O30" s="2"/>
      <c r="P30" s="2"/>
      <c r="Q30" s="2"/>
      <c r="R30" s="64" t="e">
        <f t="shared" si="0"/>
        <v>#DIV/0!</v>
      </c>
    </row>
    <row r="31" spans="1:18" ht="12.75" hidden="1">
      <c r="A31" t="s">
        <v>134</v>
      </c>
      <c r="B31" s="4">
        <v>53.1706</v>
      </c>
      <c r="C31" s="2"/>
      <c r="D31" s="2"/>
      <c r="E31" s="2"/>
      <c r="F31" s="2">
        <v>289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64"/>
    </row>
    <row r="32" spans="1:18" ht="12.75">
      <c r="A32" t="s">
        <v>40</v>
      </c>
      <c r="B32" s="4">
        <v>53.171</v>
      </c>
      <c r="C32" s="2">
        <v>687</v>
      </c>
      <c r="D32" s="2">
        <v>456</v>
      </c>
      <c r="E32" s="2">
        <v>843</v>
      </c>
      <c r="F32" s="2">
        <v>1401</v>
      </c>
      <c r="G32" s="2">
        <v>1954</v>
      </c>
      <c r="H32" s="2">
        <v>2069</v>
      </c>
      <c r="I32" s="2">
        <v>1921</v>
      </c>
      <c r="J32" s="2">
        <v>1261</v>
      </c>
      <c r="K32" s="2">
        <v>2308</v>
      </c>
      <c r="L32" s="11">
        <v>1094</v>
      </c>
      <c r="M32" s="2">
        <f>+L32/$L$3*12</f>
        <v>2188</v>
      </c>
      <c r="N32" s="2">
        <v>2000</v>
      </c>
      <c r="O32" s="2">
        <v>2000</v>
      </c>
      <c r="P32" s="2">
        <v>2000</v>
      </c>
      <c r="Q32" s="2">
        <v>2000</v>
      </c>
      <c r="R32" s="64">
        <f t="shared" si="0"/>
        <v>0</v>
      </c>
    </row>
    <row r="33" spans="1:18" ht="12.75">
      <c r="A33" t="s">
        <v>41</v>
      </c>
      <c r="B33" s="4">
        <v>53.172</v>
      </c>
      <c r="C33" s="2"/>
      <c r="D33" s="2"/>
      <c r="E33" s="2">
        <v>2115</v>
      </c>
      <c r="F33" s="2">
        <v>5765</v>
      </c>
      <c r="G33" s="2">
        <v>2148</v>
      </c>
      <c r="H33" s="2">
        <v>2165</v>
      </c>
      <c r="I33" s="2">
        <v>4623</v>
      </c>
      <c r="J33" s="2">
        <v>2688</v>
      </c>
      <c r="K33" s="2">
        <f>3644+1757</f>
        <v>5401</v>
      </c>
      <c r="L33" s="11">
        <v>4311</v>
      </c>
      <c r="M33" s="2">
        <v>4500</v>
      </c>
      <c r="N33" s="2">
        <v>3000</v>
      </c>
      <c r="O33" s="2">
        <v>5000</v>
      </c>
      <c r="P33" s="2">
        <v>3000</v>
      </c>
      <c r="Q33" s="2">
        <v>3000</v>
      </c>
      <c r="R33" s="64">
        <f t="shared" si="0"/>
        <v>0</v>
      </c>
    </row>
    <row r="34" spans="1:18" ht="12.75" hidden="1">
      <c r="A34" t="s">
        <v>130</v>
      </c>
      <c r="B34" s="4">
        <v>53.1726</v>
      </c>
      <c r="C34" s="2">
        <v>352</v>
      </c>
      <c r="D34" s="2"/>
      <c r="E34" s="2">
        <v>813</v>
      </c>
      <c r="F34" s="2"/>
      <c r="G34" s="2">
        <v>57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64"/>
    </row>
    <row r="35" spans="1:18" ht="12.75">
      <c r="A35" t="s">
        <v>131</v>
      </c>
      <c r="B35" s="4">
        <v>53.174</v>
      </c>
      <c r="C35" s="2">
        <v>3457</v>
      </c>
      <c r="D35" s="2">
        <v>5661</v>
      </c>
      <c r="E35" s="2">
        <v>5741</v>
      </c>
      <c r="F35" s="2">
        <v>5129</v>
      </c>
      <c r="G35" s="2">
        <v>4237</v>
      </c>
      <c r="H35" s="2">
        <v>5431</v>
      </c>
      <c r="I35" s="2">
        <f>6205+551</f>
        <v>6756</v>
      </c>
      <c r="J35" s="2">
        <v>5197</v>
      </c>
      <c r="K35" s="2">
        <f>4780+406</f>
        <v>5186</v>
      </c>
      <c r="L35" s="2">
        <v>-105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  <c r="R35" s="64">
        <f t="shared" si="0"/>
        <v>0</v>
      </c>
    </row>
    <row r="36" spans="1:18" ht="12.75">
      <c r="A36" t="s">
        <v>119</v>
      </c>
      <c r="B36" s="4">
        <v>53.173</v>
      </c>
      <c r="C36" s="2"/>
      <c r="D36" s="2"/>
      <c r="E36" s="2"/>
      <c r="F36" s="2"/>
      <c r="G36" s="2"/>
      <c r="H36" s="2"/>
      <c r="I36" s="2"/>
      <c r="J36" s="2"/>
      <c r="K36" s="2"/>
      <c r="L36" s="2">
        <v>2277</v>
      </c>
      <c r="M36" s="2"/>
      <c r="N36" s="2"/>
      <c r="O36" s="2"/>
      <c r="P36" s="2"/>
      <c r="Q36" s="2"/>
      <c r="R36" s="64"/>
    </row>
    <row r="37" spans="1:18" ht="12.75">
      <c r="A37" t="s">
        <v>132</v>
      </c>
      <c r="B37" s="4">
        <v>57.109</v>
      </c>
      <c r="C37" s="2">
        <v>19766</v>
      </c>
      <c r="D37" s="2">
        <v>1210</v>
      </c>
      <c r="E37" s="2">
        <v>12315</v>
      </c>
      <c r="F37" s="2">
        <v>12455</v>
      </c>
      <c r="G37" s="2">
        <v>9420</v>
      </c>
      <c r="H37" s="2">
        <v>8220</v>
      </c>
      <c r="I37" s="2">
        <f>2730+3220</f>
        <v>5950</v>
      </c>
      <c r="J37" s="2">
        <v>26933</v>
      </c>
      <c r="K37" s="2">
        <v>44120</v>
      </c>
      <c r="L37" s="2">
        <v>8870</v>
      </c>
      <c r="M37" s="2">
        <f>+L37/$L$3*12</f>
        <v>17740</v>
      </c>
      <c r="N37" s="2">
        <v>50000</v>
      </c>
      <c r="O37" s="2">
        <v>50000</v>
      </c>
      <c r="P37" s="2">
        <v>40000</v>
      </c>
      <c r="Q37" s="2">
        <v>40000</v>
      </c>
      <c r="R37" s="64">
        <f t="shared" si="0"/>
        <v>-0.2</v>
      </c>
    </row>
    <row r="38" spans="1:18" ht="12.75" hidden="1">
      <c r="A38" t="s">
        <v>133</v>
      </c>
      <c r="B38" s="4">
        <v>53.18</v>
      </c>
      <c r="C38" s="5"/>
      <c r="D38" s="5"/>
      <c r="E38" s="2">
        <v>191</v>
      </c>
      <c r="F38" s="5"/>
      <c r="G38" s="5"/>
      <c r="H38" s="5"/>
      <c r="I38" s="5"/>
      <c r="J38" s="5"/>
      <c r="K38" s="5"/>
      <c r="L38" s="5"/>
      <c r="M38" s="2">
        <f>+L38/$L$3*12</f>
        <v>0</v>
      </c>
      <c r="N38" s="2"/>
      <c r="O38" s="5"/>
      <c r="P38" s="2"/>
      <c r="Q38" s="2"/>
      <c r="R38" s="49"/>
    </row>
    <row r="39" spans="1:18" ht="12.75" hidden="1">
      <c r="A39" t="s">
        <v>214</v>
      </c>
      <c r="B39" s="4"/>
      <c r="C39">
        <v>960</v>
      </c>
      <c r="D39" s="5"/>
      <c r="E39" s="5"/>
      <c r="F39" s="5"/>
      <c r="G39" s="5"/>
      <c r="H39" s="5"/>
      <c r="I39" s="2">
        <v>258</v>
      </c>
      <c r="J39" s="2"/>
      <c r="K39" s="2"/>
      <c r="L39" s="5"/>
      <c r="M39" s="2">
        <f>+L39/$L$3*12</f>
        <v>0</v>
      </c>
      <c r="N39" s="2"/>
      <c r="O39" s="5"/>
      <c r="P39" s="2"/>
      <c r="Q39" s="2"/>
      <c r="R39" s="49"/>
    </row>
    <row r="40" spans="1:18" ht="12.75">
      <c r="A40" t="s">
        <v>212</v>
      </c>
      <c r="B40" s="4"/>
      <c r="C40" s="5"/>
      <c r="D40">
        <v>11</v>
      </c>
      <c r="L40" s="5"/>
      <c r="M40" s="2"/>
      <c r="N40" s="5"/>
      <c r="O40" s="5"/>
      <c r="P40" s="5"/>
      <c r="Q40" s="80"/>
      <c r="R40" s="49"/>
    </row>
    <row r="41" spans="2:18" ht="12.75">
      <c r="B41" s="4"/>
      <c r="C41" s="5"/>
      <c r="L41" s="5"/>
      <c r="M41" s="2"/>
      <c r="N41" s="5"/>
      <c r="O41" s="5"/>
      <c r="P41" s="5"/>
      <c r="Q41" s="80"/>
      <c r="R41" s="49"/>
    </row>
    <row r="42" spans="1:18" ht="12.75">
      <c r="A42" s="6" t="s">
        <v>23</v>
      </c>
      <c r="B42" s="6"/>
      <c r="C42" s="7">
        <f aca="true" t="shared" si="1" ref="C42:I42">SUM(C7:C40)</f>
        <v>580676</v>
      </c>
      <c r="D42" s="8">
        <f t="shared" si="1"/>
        <v>542746</v>
      </c>
      <c r="E42" s="8">
        <f t="shared" si="1"/>
        <v>639988</v>
      </c>
      <c r="F42" s="8">
        <f t="shared" si="1"/>
        <v>721590</v>
      </c>
      <c r="G42" s="8">
        <f t="shared" si="1"/>
        <v>717429</v>
      </c>
      <c r="H42" s="8">
        <f t="shared" si="1"/>
        <v>757704</v>
      </c>
      <c r="I42" s="8">
        <f t="shared" si="1"/>
        <v>774334</v>
      </c>
      <c r="J42" s="8">
        <v>904417</v>
      </c>
      <c r="K42" s="8">
        <f aca="true" t="shared" si="2" ref="K42:Q42">SUM(K7:K41)</f>
        <v>991311</v>
      </c>
      <c r="L42" s="8">
        <f t="shared" si="2"/>
        <v>454756</v>
      </c>
      <c r="M42" s="8">
        <f t="shared" si="2"/>
        <v>910046</v>
      </c>
      <c r="N42" s="8">
        <f t="shared" si="2"/>
        <v>980725.0944785</v>
      </c>
      <c r="O42" s="8">
        <f t="shared" si="2"/>
        <v>973394.81633</v>
      </c>
      <c r="P42" s="8">
        <f t="shared" si="2"/>
        <v>938894.81633</v>
      </c>
      <c r="Q42" s="8">
        <f t="shared" si="2"/>
        <v>938894.81633</v>
      </c>
      <c r="R42" s="50">
        <f t="shared" si="0"/>
        <v>-0.04265239911164223</v>
      </c>
    </row>
    <row r="43" ht="12.75">
      <c r="R43" s="49"/>
    </row>
    <row r="44" spans="14:18" ht="12.75">
      <c r="N44" s="21" t="s">
        <v>357</v>
      </c>
      <c r="O44" s="21"/>
      <c r="P44" s="53">
        <f>O42-P42</f>
        <v>34500</v>
      </c>
      <c r="R44" s="49"/>
    </row>
    <row r="45" spans="14:18" ht="12.75">
      <c r="N45" s="21" t="s">
        <v>545</v>
      </c>
      <c r="O45" s="21"/>
      <c r="P45" s="53">
        <f>N42-P42</f>
        <v>41830.278148500016</v>
      </c>
      <c r="R45" s="49"/>
    </row>
    <row r="46" spans="1:18" ht="12.75">
      <c r="A46" s="6"/>
      <c r="N46" s="21" t="s">
        <v>307</v>
      </c>
      <c r="O46" s="21"/>
      <c r="P46" s="53">
        <f>P42-Q42</f>
        <v>0</v>
      </c>
      <c r="R46" s="49"/>
    </row>
    <row r="47" ht="12.75">
      <c r="R47" s="49"/>
    </row>
    <row r="48" spans="1:18" ht="12.75">
      <c r="A48" t="s">
        <v>626</v>
      </c>
      <c r="R48" s="49"/>
    </row>
    <row r="49" spans="1:18" ht="12.75">
      <c r="A49" s="15"/>
      <c r="R49" s="49"/>
    </row>
    <row r="50" spans="1:18" ht="12.75">
      <c r="A50" t="s">
        <v>405</v>
      </c>
      <c r="R50" s="49"/>
    </row>
    <row r="51" ht="12.75">
      <c r="R51" s="49"/>
    </row>
    <row r="52" ht="12.75">
      <c r="A52" t="s">
        <v>769</v>
      </c>
    </row>
    <row r="76" ht="12.75">
      <c r="R76" s="2"/>
    </row>
    <row r="77" ht="12.75">
      <c r="R77" s="2"/>
    </row>
    <row r="78" ht="12.75">
      <c r="R78" s="2"/>
    </row>
    <row r="79" ht="12.75">
      <c r="R79" s="2"/>
    </row>
    <row r="80" ht="12.75">
      <c r="R80" s="2"/>
    </row>
    <row r="81" ht="12.75">
      <c r="R81" s="2"/>
    </row>
    <row r="86" spans="3:17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7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3:17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3:17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3:17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3:17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</sheetData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T83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6.421875" style="0" hidden="1" customWidth="1"/>
    <col min="5" max="5" width="6.8515625" style="0" hidden="1" customWidth="1"/>
    <col min="6" max="7" width="7.57421875" style="0" hidden="1" customWidth="1"/>
    <col min="8" max="10" width="7.57421875" style="0" customWidth="1"/>
    <col min="11" max="11" width="7.57421875" style="0" bestFit="1" customWidth="1"/>
    <col min="12" max="12" width="8.00390625" style="0" bestFit="1" customWidth="1"/>
    <col min="13" max="13" width="9.7109375" style="0" customWidth="1"/>
    <col min="14" max="14" width="10.28125" style="0" bestFit="1" customWidth="1"/>
    <col min="15" max="15" width="11.7109375" style="0" customWidth="1"/>
    <col min="16" max="16" width="8.7109375" style="0" bestFit="1" customWidth="1"/>
    <col min="17" max="17" width="9.421875" style="0" bestFit="1" customWidth="1"/>
    <col min="18" max="18" width="11.7109375" style="0" customWidth="1"/>
  </cols>
  <sheetData>
    <row r="1" ht="12.75">
      <c r="A1" t="s">
        <v>13</v>
      </c>
    </row>
    <row r="2" ht="12.75">
      <c r="A2" t="s">
        <v>14</v>
      </c>
    </row>
    <row r="3" spans="1:17" ht="12.75">
      <c r="A3" s="6" t="s">
        <v>336</v>
      </c>
      <c r="K3" s="54">
        <v>6</v>
      </c>
      <c r="L3" s="9"/>
      <c r="Q3" s="1" t="s">
        <v>309</v>
      </c>
    </row>
    <row r="4" spans="3:17" ht="12.75">
      <c r="C4" s="1"/>
      <c r="D4" s="1"/>
      <c r="E4" s="1"/>
      <c r="F4" s="1"/>
      <c r="G4" s="1"/>
      <c r="H4" s="1"/>
      <c r="I4" s="1"/>
      <c r="J4" s="1"/>
      <c r="K4" s="9" t="s">
        <v>305</v>
      </c>
      <c r="L4" s="9"/>
      <c r="M4" s="1"/>
      <c r="N4" s="3" t="s">
        <v>18</v>
      </c>
      <c r="O4" s="3" t="s">
        <v>436</v>
      </c>
      <c r="P4" s="3" t="s">
        <v>437</v>
      </c>
      <c r="Q4" s="1" t="s">
        <v>310</v>
      </c>
    </row>
    <row r="5" spans="3:17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306</v>
      </c>
      <c r="M5" s="1" t="s">
        <v>234</v>
      </c>
      <c r="N5" s="3" t="s">
        <v>19</v>
      </c>
      <c r="O5" s="3" t="s">
        <v>20</v>
      </c>
      <c r="P5" s="3" t="s">
        <v>21</v>
      </c>
      <c r="Q5" s="1" t="s">
        <v>298</v>
      </c>
    </row>
    <row r="6" spans="1:18" ht="12.75">
      <c r="A6" t="s">
        <v>25</v>
      </c>
      <c r="C6" s="37">
        <v>2000</v>
      </c>
      <c r="D6" s="37">
        <v>2001</v>
      </c>
      <c r="E6" s="37">
        <v>2002</v>
      </c>
      <c r="F6" s="37">
        <v>2003</v>
      </c>
      <c r="G6" s="37">
        <v>2004</v>
      </c>
      <c r="H6" s="37">
        <v>2005</v>
      </c>
      <c r="I6" s="37">
        <v>2006</v>
      </c>
      <c r="J6" s="37">
        <v>2007</v>
      </c>
      <c r="K6" s="22">
        <v>2008</v>
      </c>
      <c r="L6" s="22">
        <v>2008</v>
      </c>
      <c r="M6" s="22">
        <v>2008</v>
      </c>
      <c r="N6" s="22">
        <v>2009</v>
      </c>
      <c r="O6" s="22">
        <v>2009</v>
      </c>
      <c r="P6" s="22">
        <v>2009</v>
      </c>
      <c r="Q6" s="22" t="s">
        <v>650</v>
      </c>
      <c r="R6" s="55" t="s">
        <v>22</v>
      </c>
    </row>
    <row r="7" spans="1:18" ht="12" customHeight="1">
      <c r="A7" t="s">
        <v>508</v>
      </c>
      <c r="B7" s="4"/>
      <c r="C7" s="71"/>
      <c r="D7" s="71"/>
      <c r="E7" s="71"/>
      <c r="F7" s="71">
        <v>6</v>
      </c>
      <c r="G7" s="71"/>
      <c r="H7" s="71"/>
      <c r="I7" s="71"/>
      <c r="J7" s="71"/>
      <c r="K7" s="71"/>
      <c r="L7" s="71"/>
      <c r="M7" s="71"/>
      <c r="N7" s="74">
        <v>50000</v>
      </c>
      <c r="O7" s="71"/>
      <c r="P7" s="71"/>
      <c r="Q7" s="71"/>
      <c r="R7" s="76" t="s">
        <v>256</v>
      </c>
    </row>
    <row r="8" spans="1:17" ht="0.75" customHeight="1" hidden="1">
      <c r="A8" t="s">
        <v>164</v>
      </c>
      <c r="B8" s="4">
        <v>53.176</v>
      </c>
      <c r="C8" s="2"/>
      <c r="D8" s="2"/>
      <c r="E8" s="2"/>
      <c r="F8" s="2"/>
      <c r="G8" s="2"/>
      <c r="H8" s="2">
        <v>18</v>
      </c>
      <c r="I8" s="2"/>
      <c r="J8" s="2"/>
      <c r="K8" s="2"/>
      <c r="L8" s="2">
        <f>+K8/$K$3*12</f>
        <v>0</v>
      </c>
      <c r="Q8" s="64"/>
    </row>
    <row r="9" spans="1:17" ht="12.75" hidden="1">
      <c r="A9" t="s">
        <v>82</v>
      </c>
      <c r="B9" s="4">
        <v>53.178</v>
      </c>
      <c r="C9" s="2"/>
      <c r="D9" s="2"/>
      <c r="E9" s="2"/>
      <c r="F9" s="2"/>
      <c r="G9" s="2"/>
      <c r="H9" s="2"/>
      <c r="I9" s="2"/>
      <c r="J9" s="2"/>
      <c r="K9" s="2"/>
      <c r="L9" s="2"/>
      <c r="Q9" s="64"/>
    </row>
    <row r="10" spans="1:17" ht="12.75">
      <c r="A10" t="s">
        <v>169</v>
      </c>
      <c r="B10" s="4">
        <v>53.175</v>
      </c>
      <c r="C10" s="2"/>
      <c r="D10" s="2"/>
      <c r="E10" s="2"/>
      <c r="F10" s="2"/>
      <c r="G10" s="2"/>
      <c r="H10" s="2"/>
      <c r="I10" s="2"/>
      <c r="J10" s="2">
        <v>20</v>
      </c>
      <c r="K10" s="2"/>
      <c r="L10" s="2"/>
      <c r="Q10" s="64"/>
    </row>
    <row r="11" spans="1:17" ht="12.75">
      <c r="A11" t="s">
        <v>164</v>
      </c>
      <c r="B11" s="4"/>
      <c r="C11" s="2"/>
      <c r="D11" s="2"/>
      <c r="E11" s="2"/>
      <c r="F11" s="2"/>
      <c r="G11" s="2"/>
      <c r="H11" s="2"/>
      <c r="I11" s="2"/>
      <c r="J11" s="2">
        <v>5</v>
      </c>
      <c r="K11" s="2">
        <v>5</v>
      </c>
      <c r="L11" s="2">
        <v>5</v>
      </c>
      <c r="Q11" s="64"/>
    </row>
    <row r="12" spans="1:18" ht="12.75">
      <c r="A12" t="s">
        <v>70</v>
      </c>
      <c r="B12" s="4">
        <v>53.179</v>
      </c>
      <c r="C12" s="2"/>
      <c r="D12" s="2"/>
      <c r="E12" s="2">
        <v>6903</v>
      </c>
      <c r="F12" s="2">
        <v>9764</v>
      </c>
      <c r="G12" s="2">
        <v>13985</v>
      </c>
      <c r="H12" s="2">
        <v>20503</v>
      </c>
      <c r="I12" s="2">
        <v>32461</v>
      </c>
      <c r="J12" s="2">
        <v>26644</v>
      </c>
      <c r="K12" s="2">
        <v>15657</v>
      </c>
      <c r="L12" s="2">
        <f>+K12/$K$3*12</f>
        <v>31314</v>
      </c>
      <c r="M12" s="2">
        <v>30000</v>
      </c>
      <c r="N12" s="2">
        <v>30000</v>
      </c>
      <c r="O12" s="2">
        <v>30000</v>
      </c>
      <c r="P12" s="2">
        <v>30000</v>
      </c>
      <c r="Q12" s="64">
        <f>(P12-M12)/M12</f>
        <v>0</v>
      </c>
      <c r="R12" t="s">
        <v>374</v>
      </c>
    </row>
    <row r="13" spans="1:17" ht="12.75" hidden="1">
      <c r="A13" t="s">
        <v>133</v>
      </c>
      <c r="B13" s="4">
        <v>53.18</v>
      </c>
      <c r="C13" s="2"/>
      <c r="D13" s="2"/>
      <c r="E13" s="2">
        <v>995</v>
      </c>
      <c r="F13" s="2">
        <v>508</v>
      </c>
      <c r="G13" s="2">
        <v>273</v>
      </c>
      <c r="H13" s="2">
        <v>110</v>
      </c>
      <c r="I13" s="2"/>
      <c r="J13" s="2"/>
      <c r="K13" s="2"/>
      <c r="L13" s="2">
        <f>+K13/$K$3*12</f>
        <v>0</v>
      </c>
      <c r="M13" s="2"/>
      <c r="Q13" s="64"/>
    </row>
    <row r="14" spans="1:17" ht="12.75" hidden="1">
      <c r="A14" t="s">
        <v>398</v>
      </c>
      <c r="B14" s="4">
        <v>54.22</v>
      </c>
      <c r="C14" s="5"/>
      <c r="D14" s="5"/>
      <c r="E14" s="5"/>
      <c r="F14" s="5"/>
      <c r="G14" s="2">
        <v>1518</v>
      </c>
      <c r="H14" s="2"/>
      <c r="I14" s="2"/>
      <c r="J14" s="2"/>
      <c r="L14" s="2"/>
      <c r="M14" s="2"/>
      <c r="N14" s="5"/>
      <c r="O14" s="2"/>
      <c r="P14" s="2"/>
      <c r="Q14" s="64"/>
    </row>
    <row r="15" spans="1:17" ht="12.75" hidden="1">
      <c r="A15" t="s">
        <v>397</v>
      </c>
      <c r="B15" s="4">
        <v>54.25</v>
      </c>
      <c r="C15" s="5"/>
      <c r="D15" s="5"/>
      <c r="E15" s="5"/>
      <c r="F15" s="5"/>
      <c r="G15" s="2">
        <v>750</v>
      </c>
      <c r="H15" s="2"/>
      <c r="I15" s="2"/>
      <c r="J15" s="2"/>
      <c r="L15" s="5"/>
      <c r="M15" s="2"/>
      <c r="N15" s="5"/>
      <c r="O15" s="5"/>
      <c r="P15" s="5"/>
      <c r="Q15" s="64"/>
    </row>
    <row r="16" spans="1:17" ht="12.75">
      <c r="A16" t="s">
        <v>133</v>
      </c>
      <c r="B16" s="4">
        <v>53.18</v>
      </c>
      <c r="C16" s="5"/>
      <c r="D16" s="5"/>
      <c r="E16" s="5"/>
      <c r="F16" s="5"/>
      <c r="G16" s="2"/>
      <c r="H16" s="2"/>
      <c r="I16" s="2"/>
      <c r="J16" s="2">
        <v>105</v>
      </c>
      <c r="K16">
        <v>88</v>
      </c>
      <c r="L16" s="5">
        <v>100</v>
      </c>
      <c r="M16" s="2"/>
      <c r="N16" s="5"/>
      <c r="O16" s="5"/>
      <c r="P16" s="5"/>
      <c r="Q16" s="64"/>
    </row>
    <row r="17" spans="1:17" ht="12.75">
      <c r="A17" s="6" t="s">
        <v>23</v>
      </c>
      <c r="B17" s="6"/>
      <c r="C17" s="8">
        <f>SUM(C8:C15)</f>
        <v>0</v>
      </c>
      <c r="D17" s="8">
        <f>SUM(D8:D15)</f>
        <v>0</v>
      </c>
      <c r="E17" s="8">
        <f>SUM(E8:E15)</f>
        <v>7898</v>
      </c>
      <c r="F17" s="8">
        <f>SUM(F7:F15)</f>
        <v>10278</v>
      </c>
      <c r="G17" s="8">
        <f>SUM(G7:G15)</f>
        <v>16526</v>
      </c>
      <c r="H17" s="8">
        <f>SUM(H8:H15)</f>
        <v>20631</v>
      </c>
      <c r="I17" s="8">
        <v>32461</v>
      </c>
      <c r="J17" s="8">
        <f aca="true" t="shared" si="0" ref="J17:P17">SUM(J7:J16)</f>
        <v>26774</v>
      </c>
      <c r="K17" s="8">
        <f t="shared" si="0"/>
        <v>15750</v>
      </c>
      <c r="L17" s="8">
        <f t="shared" si="0"/>
        <v>31419</v>
      </c>
      <c r="M17" s="8">
        <f t="shared" si="0"/>
        <v>30000</v>
      </c>
      <c r="N17" s="8">
        <f t="shared" si="0"/>
        <v>80000</v>
      </c>
      <c r="O17" s="8">
        <f t="shared" si="0"/>
        <v>30000</v>
      </c>
      <c r="P17" s="8">
        <f t="shared" si="0"/>
        <v>30000</v>
      </c>
      <c r="Q17" s="50">
        <f>(P17-M17)/M17</f>
        <v>0</v>
      </c>
    </row>
    <row r="18" ht="12.75">
      <c r="Q18" s="49"/>
    </row>
    <row r="19" spans="13:17" ht="12.75">
      <c r="M19" s="21" t="s">
        <v>357</v>
      </c>
      <c r="N19" s="21"/>
      <c r="O19" s="53">
        <f>N17-O17</f>
        <v>50000</v>
      </c>
      <c r="Q19" s="49"/>
    </row>
    <row r="20" spans="13:17" ht="12.75">
      <c r="M20" s="21" t="s">
        <v>545</v>
      </c>
      <c r="N20" s="21"/>
      <c r="O20" s="53">
        <f>M17-O17</f>
        <v>0</v>
      </c>
      <c r="Q20" s="49"/>
    </row>
    <row r="21" spans="13:17" ht="12.75">
      <c r="M21" s="21" t="s">
        <v>307</v>
      </c>
      <c r="N21" s="21"/>
      <c r="O21" s="53">
        <f>O17-P17</f>
        <v>0</v>
      </c>
      <c r="Q21" s="49"/>
    </row>
    <row r="22" spans="1:17" ht="12.75">
      <c r="A22" t="s">
        <v>687</v>
      </c>
      <c r="Q22" s="49"/>
    </row>
    <row r="23" spans="1:17" ht="12.75">
      <c r="A23" t="s">
        <v>563</v>
      </c>
      <c r="Q23" s="49"/>
    </row>
    <row r="24" spans="1:20" ht="12.75">
      <c r="A24" t="s">
        <v>456</v>
      </c>
      <c r="Q24" s="49"/>
      <c r="T24" t="s">
        <v>489</v>
      </c>
    </row>
    <row r="25" spans="1:18" s="21" customFormat="1" ht="12.75">
      <c r="A25" s="39" t="s">
        <v>430</v>
      </c>
      <c r="B25" s="40">
        <v>38.9053</v>
      </c>
      <c r="C25" s="41">
        <v>4689</v>
      </c>
      <c r="D25" s="41">
        <v>7748</v>
      </c>
      <c r="E25" s="41">
        <v>7400</v>
      </c>
      <c r="F25" s="41">
        <v>9971</v>
      </c>
      <c r="G25" s="41">
        <v>14265</v>
      </c>
      <c r="H25" s="41">
        <v>20631</v>
      </c>
      <c r="I25" s="41">
        <v>29877</v>
      </c>
      <c r="J25" s="41">
        <v>28326</v>
      </c>
      <c r="K25" s="41"/>
      <c r="L25" s="42"/>
      <c r="M25" s="29"/>
      <c r="N25" s="41"/>
      <c r="O25" s="41"/>
      <c r="P25" s="41"/>
      <c r="Q25" s="70"/>
      <c r="R25" s="41"/>
    </row>
    <row r="26" ht="12.75">
      <c r="Q26" s="49"/>
    </row>
    <row r="27" ht="12.75">
      <c r="Q27" s="49"/>
    </row>
    <row r="28" spans="1:17" ht="12.75">
      <c r="A28" s="6"/>
      <c r="Q28" s="49"/>
    </row>
    <row r="29" ht="12.75">
      <c r="Q29" s="49"/>
    </row>
    <row r="30" ht="12.75">
      <c r="Q30" s="49"/>
    </row>
    <row r="31" ht="12.75">
      <c r="Q31" s="49"/>
    </row>
    <row r="32" ht="12.75">
      <c r="Q32" s="49"/>
    </row>
    <row r="33" ht="12.75">
      <c r="Q33" s="49"/>
    </row>
    <row r="34" ht="12.75">
      <c r="Q34" s="49"/>
    </row>
    <row r="35" ht="12.75">
      <c r="Q35" s="49"/>
    </row>
    <row r="36" ht="12.75">
      <c r="Q36" s="49"/>
    </row>
    <row r="37" ht="12.75">
      <c r="Q37" s="49"/>
    </row>
    <row r="38" ht="12.75">
      <c r="Q38" s="49"/>
    </row>
    <row r="39" ht="12.75">
      <c r="Q39" s="49"/>
    </row>
    <row r="40" ht="12.75">
      <c r="Q40" s="49"/>
    </row>
    <row r="41" ht="12.75">
      <c r="Q41" s="49"/>
    </row>
    <row r="42" ht="12.75">
      <c r="Q42" s="49"/>
    </row>
    <row r="43" ht="12.75">
      <c r="Q43" s="49"/>
    </row>
    <row r="44" ht="12.75">
      <c r="Q44" s="49"/>
    </row>
    <row r="45" ht="12.75">
      <c r="Q45" s="49"/>
    </row>
    <row r="46" ht="12.75">
      <c r="Q46" s="49"/>
    </row>
    <row r="47" ht="12.75">
      <c r="Q47" s="49"/>
    </row>
    <row r="48" ht="12.75">
      <c r="Q48" s="49"/>
    </row>
    <row r="49" ht="12.75">
      <c r="Q49" s="49"/>
    </row>
    <row r="50" ht="12.75">
      <c r="Q50" s="49"/>
    </row>
    <row r="51" ht="12.75">
      <c r="Q51" s="49"/>
    </row>
    <row r="52" ht="12.75">
      <c r="Q52" s="49"/>
    </row>
    <row r="53" ht="12.75">
      <c r="Q53" s="49"/>
    </row>
    <row r="65" spans="3:1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3:16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3:16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3:16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3:16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3:16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8" ht="12.75">
      <c r="Q78" s="2"/>
    </row>
    <row r="79" ht="12.75">
      <c r="Q79" s="2"/>
    </row>
    <row r="80" ht="12.75">
      <c r="Q80" s="2"/>
    </row>
    <row r="81" ht="12.75">
      <c r="Q81" s="2"/>
    </row>
    <row r="82" ht="12.75">
      <c r="Q82" s="2"/>
    </row>
    <row r="83" ht="12.75">
      <c r="Q83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S117"/>
  <sheetViews>
    <sheetView zoomScale="75" zoomScaleNormal="75" workbookViewId="0" topLeftCell="A10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8" width="9.140625" style="0" hidden="1" customWidth="1"/>
    <col min="10" max="10" width="10.00390625" style="0" bestFit="1" customWidth="1"/>
    <col min="11" max="11" width="10.00390625" style="0" customWidth="1"/>
    <col min="12" max="12" width="10.00390625" style="0" bestFit="1" customWidth="1"/>
    <col min="13" max="13" width="10.421875" style="0" bestFit="1" customWidth="1"/>
    <col min="14" max="15" width="11.7109375" style="0" customWidth="1"/>
    <col min="16" max="17" width="10.851562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337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8" ht="12.75">
      <c r="A7" t="s">
        <v>559</v>
      </c>
      <c r="B7" s="4">
        <v>51.11</v>
      </c>
      <c r="C7" s="2">
        <v>381497</v>
      </c>
      <c r="D7" s="2">
        <v>427143</v>
      </c>
      <c r="E7" s="2">
        <v>459879</v>
      </c>
      <c r="F7" s="2">
        <v>462939</v>
      </c>
      <c r="G7" s="2">
        <v>462122</v>
      </c>
      <c r="H7" s="2">
        <v>483878</v>
      </c>
      <c r="I7" s="2">
        <v>500385</v>
      </c>
      <c r="J7" s="2">
        <v>705115</v>
      </c>
      <c r="K7" s="2">
        <v>689673</v>
      </c>
      <c r="L7" s="2">
        <v>361523</v>
      </c>
      <c r="M7" s="2">
        <f aca="true" t="shared" si="0" ref="M7:M41">+L7/$L$3*12</f>
        <v>723046</v>
      </c>
      <c r="N7" s="2">
        <v>738720.44216</v>
      </c>
      <c r="O7" s="2">
        <v>773618.6475</v>
      </c>
      <c r="P7" s="2">
        <v>773618.6475</v>
      </c>
      <c r="Q7" s="2">
        <v>773618.6475</v>
      </c>
      <c r="R7" s="64">
        <f aca="true" t="shared" si="1" ref="R7:R56">(Q7-N7)/N7</f>
        <v>0.047241423613455874</v>
      </c>
    </row>
    <row r="8" spans="1:19" ht="12.75">
      <c r="A8" t="s">
        <v>558</v>
      </c>
      <c r="B8" s="4"/>
      <c r="C8" s="2"/>
      <c r="D8" s="2"/>
      <c r="E8" s="2"/>
      <c r="F8" s="2"/>
      <c r="G8" s="2"/>
      <c r="H8" s="2"/>
      <c r="I8" s="2"/>
      <c r="J8" s="2"/>
      <c r="K8" s="2">
        <v>83878</v>
      </c>
      <c r="L8" s="2">
        <v>71131</v>
      </c>
      <c r="M8" s="2">
        <f t="shared" si="0"/>
        <v>142262</v>
      </c>
      <c r="N8" s="2">
        <v>131712.5</v>
      </c>
      <c r="O8" s="2">
        <v>139000</v>
      </c>
      <c r="P8" s="2">
        <v>130000</v>
      </c>
      <c r="Q8" s="2">
        <v>130000</v>
      </c>
      <c r="R8" s="64"/>
      <c r="S8" t="s">
        <v>256</v>
      </c>
    </row>
    <row r="9" spans="1:18" ht="12.75">
      <c r="A9" t="s">
        <v>533</v>
      </c>
      <c r="B9" s="4">
        <v>51.1136</v>
      </c>
      <c r="C9" s="2"/>
      <c r="D9" s="2"/>
      <c r="E9" s="2"/>
      <c r="F9" s="2"/>
      <c r="G9" s="2"/>
      <c r="H9" s="2"/>
      <c r="I9" s="2"/>
      <c r="J9" s="2">
        <v>21046</v>
      </c>
      <c r="K9" s="2">
        <v>12599</v>
      </c>
      <c r="L9" s="2"/>
      <c r="M9" s="2">
        <v>21000</v>
      </c>
      <c r="N9" s="2">
        <v>21248.9</v>
      </c>
      <c r="O9" s="2">
        <v>21249</v>
      </c>
      <c r="P9" s="2">
        <v>21000</v>
      </c>
      <c r="Q9" s="2">
        <v>21000</v>
      </c>
      <c r="R9" s="64">
        <f t="shared" si="1"/>
        <v>-0.011713547524813116</v>
      </c>
    </row>
    <row r="10" spans="1:19" ht="12.75">
      <c r="A10" t="s">
        <v>43</v>
      </c>
      <c r="B10" s="4">
        <v>51.13</v>
      </c>
      <c r="C10" s="2">
        <v>200151</v>
      </c>
      <c r="D10" s="2">
        <v>208287</v>
      </c>
      <c r="E10" s="2">
        <v>226368</v>
      </c>
      <c r="F10" s="2">
        <v>225762</v>
      </c>
      <c r="G10" s="2">
        <v>214599</v>
      </c>
      <c r="H10" s="2">
        <v>185404</v>
      </c>
      <c r="I10" s="2">
        <v>177209</v>
      </c>
      <c r="J10" s="2">
        <v>260593</v>
      </c>
      <c r="K10" s="2">
        <v>288803</v>
      </c>
      <c r="L10" s="2">
        <v>162926</v>
      </c>
      <c r="M10" s="2">
        <f t="shared" si="0"/>
        <v>325852</v>
      </c>
      <c r="N10" s="20">
        <v>270000</v>
      </c>
      <c r="O10" s="20">
        <v>321614</v>
      </c>
      <c r="P10" s="20">
        <v>270000</v>
      </c>
      <c r="Q10" s="20">
        <v>270000</v>
      </c>
      <c r="R10" s="64">
        <f t="shared" si="1"/>
        <v>0</v>
      </c>
      <c r="S10" s="20"/>
    </row>
    <row r="11" spans="1:19" ht="12.75">
      <c r="A11" t="s">
        <v>360</v>
      </c>
      <c r="B11" s="4">
        <v>51.21</v>
      </c>
      <c r="C11" s="2">
        <v>35545</v>
      </c>
      <c r="D11" s="2">
        <v>42775</v>
      </c>
      <c r="E11" s="2">
        <v>50240</v>
      </c>
      <c r="F11" s="2">
        <v>43804</v>
      </c>
      <c r="G11" s="2">
        <v>43351</v>
      </c>
      <c r="H11" s="2">
        <v>48691</v>
      </c>
      <c r="I11" s="2">
        <v>47813</v>
      </c>
      <c r="J11" s="2">
        <v>67597</v>
      </c>
      <c r="K11" s="2">
        <v>80244</v>
      </c>
      <c r="L11" s="2">
        <v>47055</v>
      </c>
      <c r="M11" s="2">
        <f t="shared" si="0"/>
        <v>94110</v>
      </c>
      <c r="N11" s="2">
        <v>97145.4</v>
      </c>
      <c r="O11" s="2">
        <f>22*4800</f>
        <v>105600</v>
      </c>
      <c r="P11" s="2">
        <f>22*4800</f>
        <v>105600</v>
      </c>
      <c r="Q11" s="2">
        <f>22*4800</f>
        <v>105600</v>
      </c>
      <c r="R11" s="64">
        <f t="shared" si="1"/>
        <v>0.08703036891093151</v>
      </c>
      <c r="S11" t="s">
        <v>605</v>
      </c>
    </row>
    <row r="12" spans="1:18" ht="12.75">
      <c r="A12" t="s">
        <v>30</v>
      </c>
      <c r="B12" s="4">
        <v>51.22</v>
      </c>
      <c r="C12" s="2">
        <v>42811</v>
      </c>
      <c r="D12" s="2">
        <v>46250</v>
      </c>
      <c r="E12" s="2">
        <v>49933</v>
      </c>
      <c r="F12" s="2">
        <v>52867</v>
      </c>
      <c r="G12" s="2">
        <v>49366</v>
      </c>
      <c r="H12" s="2">
        <v>48294</v>
      </c>
      <c r="I12" s="2">
        <v>48274</v>
      </c>
      <c r="J12" s="2">
        <v>71567</v>
      </c>
      <c r="K12" s="2">
        <v>77971</v>
      </c>
      <c r="L12" s="2">
        <v>43548</v>
      </c>
      <c r="M12" s="2">
        <f t="shared" si="0"/>
        <v>87096</v>
      </c>
      <c r="N12" s="2">
        <v>88868.66092524</v>
      </c>
      <c r="O12" s="2">
        <f>(O7+O8+O9+O10)*0.0765</f>
        <v>96044.34603375</v>
      </c>
      <c r="P12" s="2">
        <f>(P7+P8+P9+P10)*0.0765</f>
        <v>91388.32653374999</v>
      </c>
      <c r="Q12" s="2">
        <f>(Q7+Q8+Q9+Q10)*0.0765</f>
        <v>91388.32653374999</v>
      </c>
      <c r="R12" s="64">
        <f t="shared" si="1"/>
        <v>0.02835269016407982</v>
      </c>
    </row>
    <row r="13" spans="1:18" ht="12.75">
      <c r="A13" t="s">
        <v>44</v>
      </c>
      <c r="B13" s="4">
        <v>51.24</v>
      </c>
      <c r="C13" s="2">
        <v>8189</v>
      </c>
      <c r="D13" s="2">
        <v>9511</v>
      </c>
      <c r="E13" s="2">
        <v>9463</v>
      </c>
      <c r="F13" s="2">
        <v>8738</v>
      </c>
      <c r="G13" s="2">
        <v>7878</v>
      </c>
      <c r="H13" s="2">
        <v>9108</v>
      </c>
      <c r="I13" s="2">
        <v>9491</v>
      </c>
      <c r="J13" s="2">
        <v>11082</v>
      </c>
      <c r="K13" s="2">
        <v>11697</v>
      </c>
      <c r="L13" s="2">
        <v>6137</v>
      </c>
      <c r="M13" s="2">
        <f t="shared" si="0"/>
        <v>12274</v>
      </c>
      <c r="N13" s="2">
        <v>12000</v>
      </c>
      <c r="O13" s="2">
        <v>13000</v>
      </c>
      <c r="P13" s="2">
        <v>13000</v>
      </c>
      <c r="Q13" s="2">
        <v>13000</v>
      </c>
      <c r="R13" s="64">
        <f t="shared" si="1"/>
        <v>0.08333333333333333</v>
      </c>
    </row>
    <row r="14" spans="2:18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4"/>
    </row>
    <row r="15" spans="1:19" ht="12.75">
      <c r="A15" t="s">
        <v>254</v>
      </c>
      <c r="B15" s="4">
        <v>52.2202</v>
      </c>
      <c r="C15" s="2"/>
      <c r="D15" s="2"/>
      <c r="E15" s="2"/>
      <c r="F15" s="2">
        <v>385</v>
      </c>
      <c r="G15" s="2">
        <v>691</v>
      </c>
      <c r="H15" s="2">
        <v>684</v>
      </c>
      <c r="I15" s="2">
        <v>744</v>
      </c>
      <c r="J15" s="2">
        <v>235</v>
      </c>
      <c r="K15" s="2">
        <v>400</v>
      </c>
      <c r="L15" s="2">
        <v>1131</v>
      </c>
      <c r="M15" s="2">
        <f t="shared" si="0"/>
        <v>2262</v>
      </c>
      <c r="N15" s="2">
        <v>500</v>
      </c>
      <c r="O15" s="2">
        <v>800</v>
      </c>
      <c r="P15" s="2">
        <v>500</v>
      </c>
      <c r="Q15" s="2">
        <v>500</v>
      </c>
      <c r="R15" s="64">
        <f t="shared" si="1"/>
        <v>0</v>
      </c>
      <c r="S15" s="2"/>
    </row>
    <row r="16" spans="1:18" ht="12.75">
      <c r="A16" t="s">
        <v>136</v>
      </c>
      <c r="B16" s="4">
        <v>52.2203</v>
      </c>
      <c r="C16" s="2">
        <v>7963</v>
      </c>
      <c r="D16" s="2">
        <v>7635</v>
      </c>
      <c r="E16" s="2">
        <v>6738</v>
      </c>
      <c r="F16" s="2">
        <v>7488</v>
      </c>
      <c r="G16" s="2">
        <v>7391</v>
      </c>
      <c r="H16" s="2">
        <v>6132</v>
      </c>
      <c r="I16" s="2">
        <v>6132</v>
      </c>
      <c r="J16" s="2">
        <v>5112</v>
      </c>
      <c r="K16" s="2">
        <v>6144</v>
      </c>
      <c r="L16" s="2">
        <v>3072</v>
      </c>
      <c r="M16" s="2">
        <f t="shared" si="0"/>
        <v>6144</v>
      </c>
      <c r="N16" s="2">
        <v>6500</v>
      </c>
      <c r="O16" s="2">
        <v>6500</v>
      </c>
      <c r="P16" s="2">
        <v>6500</v>
      </c>
      <c r="Q16" s="2">
        <v>6500</v>
      </c>
      <c r="R16" s="64">
        <f t="shared" si="1"/>
        <v>0</v>
      </c>
    </row>
    <row r="17" spans="1:18" ht="12.75">
      <c r="A17" t="s">
        <v>76</v>
      </c>
      <c r="B17" s="4">
        <v>52.2206</v>
      </c>
      <c r="C17" s="2">
        <v>2117</v>
      </c>
      <c r="D17" s="2">
        <v>4215</v>
      </c>
      <c r="E17" s="2">
        <v>1805</v>
      </c>
      <c r="F17" s="2">
        <v>1027</v>
      </c>
      <c r="G17" s="2">
        <v>325</v>
      </c>
      <c r="H17" s="2">
        <v>486</v>
      </c>
      <c r="I17" s="2">
        <v>225</v>
      </c>
      <c r="J17" s="2"/>
      <c r="K17" s="2">
        <v>741</v>
      </c>
      <c r="L17" s="2">
        <v>256</v>
      </c>
      <c r="M17" s="2">
        <f t="shared" si="0"/>
        <v>512</v>
      </c>
      <c r="N17" s="2">
        <v>300</v>
      </c>
      <c r="O17" s="2">
        <v>400</v>
      </c>
      <c r="P17" s="2">
        <v>300</v>
      </c>
      <c r="Q17" s="2">
        <v>300</v>
      </c>
      <c r="R17" s="64">
        <f t="shared" si="1"/>
        <v>0</v>
      </c>
    </row>
    <row r="18" spans="1:18" ht="12.75">
      <c r="A18" t="s">
        <v>627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1000</v>
      </c>
      <c r="N18" s="2">
        <v>1000</v>
      </c>
      <c r="O18" s="2">
        <v>1000</v>
      </c>
      <c r="P18" s="2">
        <v>1000</v>
      </c>
      <c r="Q18" s="2">
        <v>1000</v>
      </c>
      <c r="R18" s="64"/>
    </row>
    <row r="19" spans="1:18" ht="12.75">
      <c r="A19" t="s">
        <v>137</v>
      </c>
      <c r="B19" s="4">
        <v>52.2209</v>
      </c>
      <c r="C19" s="5"/>
      <c r="D19" s="5"/>
      <c r="E19" s="2">
        <v>1000</v>
      </c>
      <c r="F19" s="2"/>
      <c r="G19" s="2">
        <v>1325</v>
      </c>
      <c r="H19" s="2">
        <v>1200</v>
      </c>
      <c r="I19" s="2">
        <v>1200</v>
      </c>
      <c r="J19" s="2">
        <v>1200</v>
      </c>
      <c r="K19" s="2">
        <v>1200</v>
      </c>
      <c r="L19" s="2">
        <v>1800</v>
      </c>
      <c r="M19" s="2">
        <v>1200</v>
      </c>
      <c r="N19" s="2">
        <v>1200</v>
      </c>
      <c r="O19" s="2">
        <v>1200</v>
      </c>
      <c r="P19" s="2">
        <v>1200</v>
      </c>
      <c r="Q19" s="2">
        <v>1200</v>
      </c>
      <c r="R19" s="64">
        <f t="shared" si="1"/>
        <v>0</v>
      </c>
    </row>
    <row r="20" spans="1:18" ht="12.75">
      <c r="A20" t="s">
        <v>433</v>
      </c>
      <c r="B20" s="4">
        <v>52.2213</v>
      </c>
      <c r="C20" s="5"/>
      <c r="D20" s="5"/>
      <c r="E20" s="5"/>
      <c r="F20" s="5"/>
      <c r="G20" s="2">
        <v>320</v>
      </c>
      <c r="H20" s="2">
        <v>325</v>
      </c>
      <c r="I20" s="2">
        <v>425</v>
      </c>
      <c r="J20" s="2"/>
      <c r="K20" s="2"/>
      <c r="L20" s="2"/>
      <c r="M20" s="2">
        <v>500</v>
      </c>
      <c r="N20" s="2">
        <v>500</v>
      </c>
      <c r="O20" s="2">
        <v>500</v>
      </c>
      <c r="P20" s="2">
        <v>500</v>
      </c>
      <c r="Q20" s="2">
        <v>500</v>
      </c>
      <c r="R20" s="64">
        <f t="shared" si="1"/>
        <v>0</v>
      </c>
    </row>
    <row r="21" spans="1:18" ht="12.75">
      <c r="A21" t="s">
        <v>645</v>
      </c>
      <c r="B21" s="4">
        <v>52.2216</v>
      </c>
      <c r="C21" s="5"/>
      <c r="D21" s="5"/>
      <c r="E21" s="5"/>
      <c r="F21" s="5"/>
      <c r="G21" s="2"/>
      <c r="H21" s="2"/>
      <c r="I21" s="2"/>
      <c r="J21" s="2"/>
      <c r="K21" s="2">
        <v>4020</v>
      </c>
      <c r="L21" s="2"/>
      <c r="M21" s="2"/>
      <c r="N21" s="2"/>
      <c r="O21" s="2">
        <v>4020</v>
      </c>
      <c r="P21" s="2">
        <v>4020</v>
      </c>
      <c r="Q21" s="2">
        <v>4020</v>
      </c>
      <c r="R21" s="64"/>
    </row>
    <row r="22" spans="1:18" ht="12.75">
      <c r="A22" t="s">
        <v>32</v>
      </c>
      <c r="B22" s="4">
        <v>52.32</v>
      </c>
      <c r="C22" s="2">
        <v>4119</v>
      </c>
      <c r="D22" s="2">
        <v>3588</v>
      </c>
      <c r="E22" s="2">
        <v>3658</v>
      </c>
      <c r="F22" s="2">
        <v>4571</v>
      </c>
      <c r="G22" s="2">
        <v>4603</v>
      </c>
      <c r="H22" s="2">
        <v>3932</v>
      </c>
      <c r="I22" s="2">
        <v>6313</v>
      </c>
      <c r="J22" s="2">
        <v>4807</v>
      </c>
      <c r="K22" s="2">
        <v>4753</v>
      </c>
      <c r="L22" s="2">
        <v>2280</v>
      </c>
      <c r="M22" s="2">
        <f t="shared" si="0"/>
        <v>4560</v>
      </c>
      <c r="N22" s="2">
        <v>4500</v>
      </c>
      <c r="O22" s="2">
        <v>5100</v>
      </c>
      <c r="P22" s="2">
        <v>4500</v>
      </c>
      <c r="Q22" s="2">
        <v>4500</v>
      </c>
      <c r="R22" s="64">
        <f t="shared" si="1"/>
        <v>0</v>
      </c>
    </row>
    <row r="23" spans="1:18" ht="12.75">
      <c r="A23" t="s">
        <v>33</v>
      </c>
      <c r="B23" s="4">
        <v>52.321</v>
      </c>
      <c r="C23" s="2">
        <v>1942</v>
      </c>
      <c r="D23" s="2">
        <v>2097</v>
      </c>
      <c r="E23" s="2">
        <v>1792</v>
      </c>
      <c r="F23" s="2">
        <v>1506</v>
      </c>
      <c r="G23" s="2">
        <v>1873</v>
      </c>
      <c r="H23" s="2">
        <v>2049</v>
      </c>
      <c r="I23" s="2">
        <v>1794</v>
      </c>
      <c r="J23" s="2">
        <v>1063</v>
      </c>
      <c r="K23" s="2">
        <v>1944</v>
      </c>
      <c r="L23" s="2">
        <v>41</v>
      </c>
      <c r="M23" s="2">
        <f t="shared" si="0"/>
        <v>82</v>
      </c>
      <c r="N23" s="2">
        <v>1500</v>
      </c>
      <c r="O23" s="2">
        <v>1500</v>
      </c>
      <c r="P23" s="2">
        <v>1500</v>
      </c>
      <c r="Q23" s="2">
        <v>1500</v>
      </c>
      <c r="R23" s="64">
        <f t="shared" si="1"/>
        <v>0</v>
      </c>
    </row>
    <row r="24" spans="1:18" ht="12.75">
      <c r="A24" t="s">
        <v>45</v>
      </c>
      <c r="B24" s="4">
        <v>52.35</v>
      </c>
      <c r="C24" s="2">
        <v>3653</v>
      </c>
      <c r="D24" s="2">
        <v>3892</v>
      </c>
      <c r="E24" s="2">
        <v>3225</v>
      </c>
      <c r="F24" s="2">
        <v>1049</v>
      </c>
      <c r="G24" s="2">
        <v>2455</v>
      </c>
      <c r="H24" s="2">
        <v>2768</v>
      </c>
      <c r="I24" s="2">
        <f>3697+141</f>
        <v>3838</v>
      </c>
      <c r="J24" s="2">
        <v>2137</v>
      </c>
      <c r="K24" s="2">
        <v>2550</v>
      </c>
      <c r="L24" s="2">
        <v>2198</v>
      </c>
      <c r="M24" s="2">
        <f t="shared" si="0"/>
        <v>4396</v>
      </c>
      <c r="N24" s="2">
        <v>2800</v>
      </c>
      <c r="O24" s="2">
        <v>2800</v>
      </c>
      <c r="P24" s="2">
        <v>2800</v>
      </c>
      <c r="Q24" s="2">
        <v>2800</v>
      </c>
      <c r="R24" s="64">
        <f t="shared" si="1"/>
        <v>0</v>
      </c>
    </row>
    <row r="25" spans="1:18" ht="12.75">
      <c r="A25" t="s">
        <v>35</v>
      </c>
      <c r="B25" s="4">
        <v>52.3602</v>
      </c>
      <c r="C25" s="2">
        <v>5550</v>
      </c>
      <c r="D25" s="2">
        <v>6635</v>
      </c>
      <c r="E25" s="2">
        <v>135</v>
      </c>
      <c r="F25" s="2">
        <v>8095</v>
      </c>
      <c r="G25" s="2">
        <v>90</v>
      </c>
      <c r="H25" s="2">
        <v>1200</v>
      </c>
      <c r="I25" s="2">
        <v>880</v>
      </c>
      <c r="J25" s="2">
        <v>1630</v>
      </c>
      <c r="K25" s="2">
        <v>859</v>
      </c>
      <c r="L25" s="2"/>
      <c r="M25" s="2">
        <v>2000</v>
      </c>
      <c r="N25" s="2">
        <v>2000</v>
      </c>
      <c r="O25" s="2">
        <v>2000</v>
      </c>
      <c r="P25" s="2">
        <v>2000</v>
      </c>
      <c r="Q25" s="2">
        <v>2000</v>
      </c>
      <c r="R25" s="64">
        <f t="shared" si="1"/>
        <v>0</v>
      </c>
    </row>
    <row r="26" spans="1:18" ht="12.75">
      <c r="A26" t="s">
        <v>46</v>
      </c>
      <c r="B26" s="4">
        <v>52.37</v>
      </c>
      <c r="C26" s="2"/>
      <c r="D26" s="2"/>
      <c r="E26" s="2">
        <v>960</v>
      </c>
      <c r="F26" s="2">
        <v>2711</v>
      </c>
      <c r="G26" s="2">
        <v>2550</v>
      </c>
      <c r="H26" s="2">
        <v>2791</v>
      </c>
      <c r="I26" s="2"/>
      <c r="J26" s="2">
        <v>325</v>
      </c>
      <c r="K26" s="2">
        <v>3018</v>
      </c>
      <c r="L26" s="2">
        <v>1640</v>
      </c>
      <c r="M26" s="2">
        <v>3000</v>
      </c>
      <c r="N26" s="2">
        <v>3000</v>
      </c>
      <c r="O26" s="2">
        <v>3000</v>
      </c>
      <c r="P26" s="2">
        <v>3000</v>
      </c>
      <c r="Q26" s="2">
        <v>3000</v>
      </c>
      <c r="R26" s="64"/>
    </row>
    <row r="27" spans="1:18" ht="12.75">
      <c r="A27" t="s">
        <v>252</v>
      </c>
      <c r="B27" s="4">
        <v>52.38</v>
      </c>
      <c r="C27" s="2"/>
      <c r="D27" s="2"/>
      <c r="E27" s="2">
        <v>7850</v>
      </c>
      <c r="F27" s="2"/>
      <c r="G27" s="2">
        <v>8100</v>
      </c>
      <c r="H27" s="2">
        <v>8100</v>
      </c>
      <c r="I27" s="2">
        <v>8100</v>
      </c>
      <c r="J27" s="2">
        <v>8100</v>
      </c>
      <c r="K27" s="2">
        <v>8100</v>
      </c>
      <c r="L27" s="2"/>
      <c r="M27" s="2">
        <v>8100</v>
      </c>
      <c r="N27" s="2">
        <v>8100</v>
      </c>
      <c r="O27" s="2">
        <v>8100</v>
      </c>
      <c r="P27" s="2">
        <v>8100</v>
      </c>
      <c r="Q27" s="2">
        <v>8100</v>
      </c>
      <c r="R27" s="64">
        <f t="shared" si="1"/>
        <v>0</v>
      </c>
    </row>
    <row r="28" spans="13:18" ht="12.75">
      <c r="M28" s="2"/>
      <c r="R28" s="64"/>
    </row>
    <row r="29" spans="1:19" ht="12.75">
      <c r="A29" t="s">
        <v>39</v>
      </c>
      <c r="K29" s="2">
        <v>456</v>
      </c>
      <c r="L29" s="2">
        <v>1111</v>
      </c>
      <c r="M29" s="2">
        <v>1500</v>
      </c>
      <c r="N29">
        <v>1500</v>
      </c>
      <c r="O29" s="2">
        <v>2673</v>
      </c>
      <c r="P29" s="2">
        <v>1500</v>
      </c>
      <c r="Q29" s="2">
        <v>1500</v>
      </c>
      <c r="R29" s="64"/>
      <c r="S29" t="s">
        <v>256</v>
      </c>
    </row>
    <row r="30" spans="1:18" ht="12.75">
      <c r="A30" t="s">
        <v>91</v>
      </c>
      <c r="B30" s="4">
        <v>53.1702</v>
      </c>
      <c r="C30">
        <v>16</v>
      </c>
      <c r="D30">
        <v>430</v>
      </c>
      <c r="E30" s="2">
        <v>1259</v>
      </c>
      <c r="F30" s="2">
        <v>781</v>
      </c>
      <c r="G30" s="2">
        <v>391</v>
      </c>
      <c r="H30" s="2">
        <v>555</v>
      </c>
      <c r="I30" s="2">
        <f>431+253</f>
        <v>684</v>
      </c>
      <c r="J30" s="2">
        <v>706</v>
      </c>
      <c r="K30" s="2">
        <v>766</v>
      </c>
      <c r="L30" s="2">
        <v>334</v>
      </c>
      <c r="M30" s="2">
        <v>750</v>
      </c>
      <c r="N30" s="2">
        <v>750</v>
      </c>
      <c r="O30" s="2">
        <v>750</v>
      </c>
      <c r="P30" s="2">
        <v>750</v>
      </c>
      <c r="Q30" s="2">
        <v>750</v>
      </c>
      <c r="R30" s="64">
        <f t="shared" si="1"/>
        <v>0</v>
      </c>
    </row>
    <row r="31" spans="1:18" ht="12.75">
      <c r="A31" t="s">
        <v>65</v>
      </c>
      <c r="B31" s="4">
        <v>53.1704</v>
      </c>
      <c r="C31" s="2">
        <v>560</v>
      </c>
      <c r="D31" s="2">
        <v>68</v>
      </c>
      <c r="E31" s="2">
        <v>409</v>
      </c>
      <c r="F31" s="2">
        <v>408</v>
      </c>
      <c r="G31" s="2">
        <v>199</v>
      </c>
      <c r="H31" s="2"/>
      <c r="I31" s="2">
        <v>102</v>
      </c>
      <c r="J31" s="2">
        <v>259</v>
      </c>
      <c r="K31" s="2">
        <v>30</v>
      </c>
      <c r="L31" s="2"/>
      <c r="M31" s="2">
        <v>200</v>
      </c>
      <c r="N31" s="2">
        <v>200</v>
      </c>
      <c r="O31" s="2">
        <v>200</v>
      </c>
      <c r="P31" s="2">
        <v>200</v>
      </c>
      <c r="Q31" s="2">
        <v>200</v>
      </c>
      <c r="R31" s="64">
        <f t="shared" si="1"/>
        <v>0</v>
      </c>
    </row>
    <row r="32" spans="1:19" ht="12.75">
      <c r="A32" t="s">
        <v>134</v>
      </c>
      <c r="B32" s="4">
        <v>53.1706</v>
      </c>
      <c r="C32" s="2">
        <v>20084</v>
      </c>
      <c r="D32" s="2">
        <v>18199</v>
      </c>
      <c r="E32" s="2">
        <v>18246</v>
      </c>
      <c r="F32" s="2">
        <v>16894</v>
      </c>
      <c r="G32" s="2">
        <v>17593</v>
      </c>
      <c r="H32" s="2">
        <v>19716</v>
      </c>
      <c r="I32" s="2">
        <f>16881+461</f>
        <v>17342</v>
      </c>
      <c r="J32" s="2">
        <v>23910</v>
      </c>
      <c r="K32" s="2">
        <f>22379+239</f>
        <v>22618</v>
      </c>
      <c r="L32" s="2">
        <v>12988</v>
      </c>
      <c r="M32" s="2">
        <f t="shared" si="0"/>
        <v>25976</v>
      </c>
      <c r="N32" s="2">
        <v>21000</v>
      </c>
      <c r="O32" s="2">
        <v>25000</v>
      </c>
      <c r="P32" s="2">
        <v>25000</v>
      </c>
      <c r="Q32" s="2">
        <v>25000</v>
      </c>
      <c r="R32" s="64">
        <f t="shared" si="1"/>
        <v>0.19047619047619047</v>
      </c>
      <c r="S32" s="10"/>
    </row>
    <row r="33" spans="1:18" ht="12.75">
      <c r="A33" t="s">
        <v>40</v>
      </c>
      <c r="B33" s="4">
        <v>53.171</v>
      </c>
      <c r="C33" s="2">
        <v>4252</v>
      </c>
      <c r="D33" s="2">
        <v>2371</v>
      </c>
      <c r="E33" s="2">
        <v>3954</v>
      </c>
      <c r="F33" s="2">
        <v>4250</v>
      </c>
      <c r="G33" s="2">
        <v>2707</v>
      </c>
      <c r="H33" s="2">
        <v>2825</v>
      </c>
      <c r="I33" s="2">
        <f>1967+308</f>
        <v>2275</v>
      </c>
      <c r="J33" s="2">
        <v>1855</v>
      </c>
      <c r="K33" s="2">
        <f>1617+666</f>
        <v>2283</v>
      </c>
      <c r="L33" s="2">
        <v>876</v>
      </c>
      <c r="M33" s="2">
        <f t="shared" si="0"/>
        <v>1752</v>
      </c>
      <c r="N33" s="2">
        <v>2000</v>
      </c>
      <c r="O33" s="2">
        <v>2000</v>
      </c>
      <c r="P33" s="2">
        <v>2000</v>
      </c>
      <c r="Q33" s="2">
        <v>2000</v>
      </c>
      <c r="R33" s="64">
        <f t="shared" si="1"/>
        <v>0</v>
      </c>
    </row>
    <row r="34" spans="1:18" ht="12.75">
      <c r="A34" t="s">
        <v>459</v>
      </c>
      <c r="B34" s="4">
        <v>53.1727</v>
      </c>
      <c r="C34" s="2"/>
      <c r="D34" s="2"/>
      <c r="E34" s="2"/>
      <c r="F34" s="2"/>
      <c r="G34" s="2"/>
      <c r="H34" s="2"/>
      <c r="I34" s="2"/>
      <c r="J34" s="2">
        <v>1103</v>
      </c>
      <c r="K34" s="2"/>
      <c r="L34" s="2"/>
      <c r="M34" s="2"/>
      <c r="N34" s="2"/>
      <c r="O34" s="2"/>
      <c r="P34" s="2"/>
      <c r="Q34" s="2"/>
      <c r="R34" s="64" t="e">
        <f t="shared" si="1"/>
        <v>#DIV/0!</v>
      </c>
    </row>
    <row r="35" spans="1:18" ht="12.75">
      <c r="A35" t="s">
        <v>119</v>
      </c>
      <c r="B35" s="4">
        <v>53.173</v>
      </c>
      <c r="C35" s="2">
        <v>5717</v>
      </c>
      <c r="D35" s="2">
        <v>6477</v>
      </c>
      <c r="E35" s="2">
        <v>5878</v>
      </c>
      <c r="F35" s="2">
        <v>6229</v>
      </c>
      <c r="G35" s="2">
        <v>5779</v>
      </c>
      <c r="H35" s="2">
        <v>5599</v>
      </c>
      <c r="I35" s="2">
        <v>4843</v>
      </c>
      <c r="J35" s="2">
        <v>6345</v>
      </c>
      <c r="K35" s="2">
        <f>7165+884</f>
        <v>8049</v>
      </c>
      <c r="L35" s="2">
        <v>6126</v>
      </c>
      <c r="M35" s="2">
        <v>8000</v>
      </c>
      <c r="N35" s="2">
        <v>8000</v>
      </c>
      <c r="O35" s="2">
        <v>8000</v>
      </c>
      <c r="P35" s="2">
        <v>8000</v>
      </c>
      <c r="Q35" s="2">
        <v>8000</v>
      </c>
      <c r="R35" s="64">
        <f t="shared" si="1"/>
        <v>0</v>
      </c>
    </row>
    <row r="36" spans="1:18" ht="12.75">
      <c r="A36" t="s">
        <v>79</v>
      </c>
      <c r="B36" s="4">
        <v>53.175</v>
      </c>
      <c r="C36" s="2">
        <v>7281</v>
      </c>
      <c r="D36" s="2">
        <v>8432</v>
      </c>
      <c r="E36" s="2">
        <v>6194</v>
      </c>
      <c r="F36" s="2">
        <v>9604</v>
      </c>
      <c r="G36" s="2">
        <v>6092</v>
      </c>
      <c r="H36" s="2">
        <v>5563</v>
      </c>
      <c r="I36" s="2">
        <v>8891</v>
      </c>
      <c r="J36" s="2">
        <v>4457</v>
      </c>
      <c r="K36" s="2">
        <v>6972</v>
      </c>
      <c r="L36" s="2">
        <v>4753</v>
      </c>
      <c r="M36" s="2">
        <f t="shared" si="0"/>
        <v>9506</v>
      </c>
      <c r="N36" s="2">
        <v>4500</v>
      </c>
      <c r="O36" s="2">
        <v>6000</v>
      </c>
      <c r="P36" s="2">
        <v>4500</v>
      </c>
      <c r="Q36" s="2">
        <v>4500</v>
      </c>
      <c r="R36" s="64">
        <f t="shared" si="1"/>
        <v>0</v>
      </c>
    </row>
    <row r="37" spans="1:18" ht="12.75">
      <c r="A37" t="s">
        <v>68</v>
      </c>
      <c r="B37" s="4">
        <v>53.176</v>
      </c>
      <c r="C37" s="2">
        <v>511</v>
      </c>
      <c r="D37" s="2">
        <v>815</v>
      </c>
      <c r="E37" s="2">
        <v>827</v>
      </c>
      <c r="F37" s="2">
        <v>694</v>
      </c>
      <c r="G37" s="2">
        <v>615</v>
      </c>
      <c r="H37" s="2">
        <v>462</v>
      </c>
      <c r="I37" s="2">
        <v>380</v>
      </c>
      <c r="J37" s="2">
        <v>887</v>
      </c>
      <c r="K37" s="2">
        <v>704</v>
      </c>
      <c r="L37" s="2">
        <v>429</v>
      </c>
      <c r="M37" s="2">
        <f t="shared" si="0"/>
        <v>858</v>
      </c>
      <c r="N37" s="2">
        <v>875</v>
      </c>
      <c r="O37" s="2">
        <v>1100</v>
      </c>
      <c r="P37" s="2">
        <v>875</v>
      </c>
      <c r="Q37" s="2">
        <v>875</v>
      </c>
      <c r="R37" s="64">
        <f t="shared" si="1"/>
        <v>0</v>
      </c>
    </row>
    <row r="38" spans="1:18" ht="12.75">
      <c r="A38" t="s">
        <v>69</v>
      </c>
      <c r="B38" s="4">
        <v>53.177</v>
      </c>
      <c r="C38" s="2">
        <v>1239</v>
      </c>
      <c r="D38" s="2">
        <v>1323</v>
      </c>
      <c r="E38" s="2">
        <v>1798</v>
      </c>
      <c r="F38" s="2">
        <v>1163</v>
      </c>
      <c r="G38" s="2">
        <v>893</v>
      </c>
      <c r="H38" s="2">
        <v>1303</v>
      </c>
      <c r="I38" s="2">
        <v>1531</v>
      </c>
      <c r="J38" s="2">
        <v>3311</v>
      </c>
      <c r="K38" s="2">
        <v>3842</v>
      </c>
      <c r="L38" s="2">
        <v>1883</v>
      </c>
      <c r="M38" s="2">
        <f t="shared" si="0"/>
        <v>3766</v>
      </c>
      <c r="N38" s="2">
        <v>1200</v>
      </c>
      <c r="O38" s="2">
        <v>4000</v>
      </c>
      <c r="P38" s="2">
        <v>1200</v>
      </c>
      <c r="Q38" s="2">
        <v>1200</v>
      </c>
      <c r="R38" s="64">
        <f t="shared" si="1"/>
        <v>0</v>
      </c>
    </row>
    <row r="39" spans="1:18" ht="12.75">
      <c r="A39" t="s">
        <v>82</v>
      </c>
      <c r="B39" s="4">
        <v>53.178</v>
      </c>
      <c r="C39" s="2">
        <v>572</v>
      </c>
      <c r="D39" s="2">
        <v>623</v>
      </c>
      <c r="E39" s="2">
        <v>726</v>
      </c>
      <c r="F39" s="2">
        <v>479</v>
      </c>
      <c r="G39" s="2">
        <v>274</v>
      </c>
      <c r="H39" s="2">
        <v>420</v>
      </c>
      <c r="I39" s="2">
        <v>428</v>
      </c>
      <c r="J39" s="2">
        <v>427</v>
      </c>
      <c r="K39" s="2">
        <v>1194</v>
      </c>
      <c r="L39" s="2">
        <v>280</v>
      </c>
      <c r="M39" s="2">
        <f t="shared" si="0"/>
        <v>560</v>
      </c>
      <c r="N39" s="2">
        <v>500</v>
      </c>
      <c r="O39" s="2">
        <v>650</v>
      </c>
      <c r="P39" s="2">
        <v>500</v>
      </c>
      <c r="Q39" s="2">
        <v>500</v>
      </c>
      <c r="R39" s="64">
        <f t="shared" si="1"/>
        <v>0</v>
      </c>
    </row>
    <row r="40" spans="1:18" ht="12.75">
      <c r="A40" t="s">
        <v>70</v>
      </c>
      <c r="B40" s="4">
        <v>53.179</v>
      </c>
      <c r="C40" s="2">
        <v>1174</v>
      </c>
      <c r="D40" s="2">
        <v>1009</v>
      </c>
      <c r="E40" s="2">
        <v>678</v>
      </c>
      <c r="F40" s="2">
        <v>4060</v>
      </c>
      <c r="G40" s="2">
        <v>848</v>
      </c>
      <c r="H40" s="2">
        <v>1175</v>
      </c>
      <c r="I40" s="2">
        <v>1593</v>
      </c>
      <c r="J40" s="2">
        <v>2273</v>
      </c>
      <c r="K40" s="2">
        <v>2586</v>
      </c>
      <c r="L40" s="2">
        <v>1602</v>
      </c>
      <c r="M40" s="2">
        <f t="shared" si="0"/>
        <v>3204</v>
      </c>
      <c r="N40" s="2">
        <v>2300</v>
      </c>
      <c r="O40" s="2">
        <v>3800</v>
      </c>
      <c r="P40" s="2">
        <v>3200</v>
      </c>
      <c r="Q40" s="2">
        <v>3200</v>
      </c>
      <c r="R40" s="64">
        <f t="shared" si="1"/>
        <v>0.391304347826087</v>
      </c>
    </row>
    <row r="41" spans="1:18" ht="12.75">
      <c r="A41" t="s">
        <v>133</v>
      </c>
      <c r="B41" s="4">
        <v>53.18</v>
      </c>
      <c r="C41" s="2">
        <v>3283</v>
      </c>
      <c r="D41" s="2">
        <v>5753</v>
      </c>
      <c r="E41" s="2">
        <v>6580</v>
      </c>
      <c r="F41" s="2">
        <v>4956</v>
      </c>
      <c r="G41" s="2">
        <v>6813</v>
      </c>
      <c r="H41" s="2">
        <v>8735</v>
      </c>
      <c r="I41" s="2">
        <v>14691</v>
      </c>
      <c r="J41" s="2">
        <v>20173</v>
      </c>
      <c r="K41" s="2">
        <v>21855</v>
      </c>
      <c r="L41" s="2">
        <v>15243</v>
      </c>
      <c r="M41" s="2">
        <f t="shared" si="0"/>
        <v>30486</v>
      </c>
      <c r="N41" s="2">
        <v>21000</v>
      </c>
      <c r="O41" s="2">
        <v>35000</v>
      </c>
      <c r="P41" s="2">
        <v>31000</v>
      </c>
      <c r="Q41" s="2">
        <v>31000</v>
      </c>
      <c r="R41" s="64">
        <f t="shared" si="1"/>
        <v>0.47619047619047616</v>
      </c>
    </row>
    <row r="42" spans="1:18" ht="12.75">
      <c r="A42" t="s">
        <v>697</v>
      </c>
      <c r="B42" s="4"/>
      <c r="C42" s="2"/>
      <c r="D42" s="2"/>
      <c r="E42" s="2"/>
      <c r="F42" s="2"/>
      <c r="G42" s="2"/>
      <c r="H42" s="2"/>
      <c r="I42" s="2"/>
      <c r="J42" s="2"/>
      <c r="K42" s="2"/>
      <c r="L42" s="2">
        <v>292</v>
      </c>
      <c r="M42" s="2"/>
      <c r="N42" s="2"/>
      <c r="O42" s="2"/>
      <c r="P42" s="2"/>
      <c r="Q42" s="2"/>
      <c r="R42" s="64"/>
    </row>
    <row r="43" spans="2:18" ht="12.75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64"/>
    </row>
    <row r="44" spans="1:19" ht="12.75">
      <c r="A44" t="s">
        <v>253</v>
      </c>
      <c r="B44" s="4">
        <v>54.22</v>
      </c>
      <c r="C44" s="2"/>
      <c r="D44" s="2"/>
      <c r="E44" s="2">
        <v>21907</v>
      </c>
      <c r="F44" s="2">
        <v>1800</v>
      </c>
      <c r="G44" s="2">
        <v>59732</v>
      </c>
      <c r="H44" s="2">
        <v>62046</v>
      </c>
      <c r="I44" s="2">
        <v>62304</v>
      </c>
      <c r="J44" s="2"/>
      <c r="K44" s="2">
        <v>1446</v>
      </c>
      <c r="L44" s="2"/>
      <c r="M44" s="2"/>
      <c r="N44" s="2">
        <v>110000</v>
      </c>
      <c r="O44" s="2">
        <v>52500</v>
      </c>
      <c r="P44" s="2">
        <v>52500</v>
      </c>
      <c r="Q44" s="2">
        <v>52500</v>
      </c>
      <c r="R44" s="64"/>
      <c r="S44" t="s">
        <v>374</v>
      </c>
    </row>
    <row r="45" spans="1:18" ht="12.75">
      <c r="A45" t="s">
        <v>416</v>
      </c>
      <c r="B45" s="4"/>
      <c r="C45" s="2"/>
      <c r="D45" s="2"/>
      <c r="E45" s="2"/>
      <c r="F45" s="2"/>
      <c r="G45" s="2"/>
      <c r="H45" s="2"/>
      <c r="I45" s="2"/>
      <c r="J45" s="2"/>
      <c r="K45" s="2">
        <v>150</v>
      </c>
      <c r="L45" s="2"/>
      <c r="M45" s="2"/>
      <c r="N45" s="2"/>
      <c r="O45" s="2"/>
      <c r="P45" s="2"/>
      <c r="Q45" s="2"/>
      <c r="R45" s="64"/>
    </row>
    <row r="46" spans="1:18" ht="12.75">
      <c r="A46" t="s">
        <v>417</v>
      </c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4"/>
    </row>
    <row r="47" spans="1:18" ht="12.75">
      <c r="A47" t="s">
        <v>475</v>
      </c>
      <c r="B47" s="4">
        <v>54.23</v>
      </c>
      <c r="C47" s="2"/>
      <c r="D47" s="2"/>
      <c r="E47" s="2"/>
      <c r="F47" s="2"/>
      <c r="G47" s="2"/>
      <c r="H47" s="2"/>
      <c r="I47" s="2"/>
      <c r="J47" s="2">
        <v>2536</v>
      </c>
      <c r="K47" s="2"/>
      <c r="L47" s="2"/>
      <c r="M47" s="2"/>
      <c r="N47" s="2"/>
      <c r="O47" s="2"/>
      <c r="P47" s="2"/>
      <c r="Q47" s="2"/>
      <c r="R47" s="64"/>
    </row>
    <row r="48" spans="1:19" ht="12.75">
      <c r="A48" t="s">
        <v>641</v>
      </c>
      <c r="B48" s="4"/>
      <c r="C48" s="2"/>
      <c r="D48" s="2"/>
      <c r="E48" s="2"/>
      <c r="F48" s="2"/>
      <c r="G48" s="2"/>
      <c r="H48" s="2"/>
      <c r="I48" s="2"/>
      <c r="J48" s="2"/>
      <c r="K48" s="2">
        <v>42688</v>
      </c>
      <c r="L48" s="2"/>
      <c r="M48" s="2"/>
      <c r="N48" s="2"/>
      <c r="O48" s="2"/>
      <c r="P48" s="2"/>
      <c r="Q48" s="2"/>
      <c r="R48" s="64"/>
      <c r="S48" s="6" t="s">
        <v>606</v>
      </c>
    </row>
    <row r="49" spans="1:18" ht="12.75">
      <c r="A49" t="s">
        <v>418</v>
      </c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64"/>
    </row>
    <row r="50" spans="1:18" ht="12.75">
      <c r="A50" t="s">
        <v>474</v>
      </c>
      <c r="B50" s="4">
        <v>54.2623</v>
      </c>
      <c r="C50" s="2"/>
      <c r="D50" s="2"/>
      <c r="E50" s="2"/>
      <c r="F50" s="2"/>
      <c r="G50" s="2"/>
      <c r="H50" s="2"/>
      <c r="I50" s="2"/>
      <c r="J50" s="2">
        <v>67577</v>
      </c>
      <c r="K50" s="2"/>
      <c r="L50" s="2"/>
      <c r="M50" s="2"/>
      <c r="N50" s="2"/>
      <c r="O50" s="2"/>
      <c r="P50" s="2"/>
      <c r="Q50" s="2"/>
      <c r="R50" s="64"/>
    </row>
    <row r="51" spans="1:18" ht="12.75">
      <c r="A51" t="s">
        <v>255</v>
      </c>
      <c r="B51" s="4">
        <v>54.25</v>
      </c>
      <c r="C51" s="2"/>
      <c r="D51" s="2"/>
      <c r="E51" s="2"/>
      <c r="F51" s="2">
        <v>13326</v>
      </c>
      <c r="G51" s="2"/>
      <c r="H51" s="2"/>
      <c r="I51" s="2">
        <v>4145</v>
      </c>
      <c r="J51" s="2">
        <v>2805</v>
      </c>
      <c r="K51" s="2"/>
      <c r="L51" s="2"/>
      <c r="M51" s="2"/>
      <c r="N51" s="2">
        <v>1000</v>
      </c>
      <c r="O51" s="2"/>
      <c r="P51" s="2"/>
      <c r="Q51" s="2"/>
      <c r="R51" s="64"/>
    </row>
    <row r="52" spans="1:18" ht="12.75">
      <c r="A52" t="s">
        <v>226</v>
      </c>
      <c r="B52" s="4">
        <v>54.26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64"/>
    </row>
    <row r="53" spans="1:19" ht="12.75">
      <c r="A53" t="s">
        <v>537</v>
      </c>
      <c r="B53" s="4">
        <v>54.2621</v>
      </c>
      <c r="C53" s="2"/>
      <c r="D53" s="2"/>
      <c r="E53" s="2"/>
      <c r="F53" s="2"/>
      <c r="G53" s="2"/>
      <c r="H53" s="2"/>
      <c r="I53" s="2"/>
      <c r="J53" s="2">
        <v>7470</v>
      </c>
      <c r="K53" s="2"/>
      <c r="L53" s="2"/>
      <c r="M53" s="2"/>
      <c r="N53" s="2"/>
      <c r="O53" s="2"/>
      <c r="P53" s="2"/>
      <c r="Q53" s="2"/>
      <c r="R53" s="64"/>
      <c r="S53" t="s">
        <v>572</v>
      </c>
    </row>
    <row r="54" spans="1:19" ht="12.75">
      <c r="A54" t="s">
        <v>84</v>
      </c>
      <c r="B54" s="4">
        <v>58.12</v>
      </c>
      <c r="C54" s="2"/>
      <c r="D54" s="2">
        <v>36592</v>
      </c>
      <c r="E54" s="2">
        <v>3048</v>
      </c>
      <c r="F54" s="2">
        <v>106214</v>
      </c>
      <c r="G54" s="2">
        <v>45774</v>
      </c>
      <c r="H54" s="2">
        <v>24046</v>
      </c>
      <c r="I54" s="2">
        <v>24046</v>
      </c>
      <c r="J54" s="2">
        <v>24050</v>
      </c>
      <c r="K54" s="2"/>
      <c r="L54" s="2"/>
      <c r="M54" s="2"/>
      <c r="N54" s="2"/>
      <c r="O54" s="2"/>
      <c r="P54" s="2"/>
      <c r="Q54" s="2"/>
      <c r="R54" s="64" t="e">
        <f t="shared" si="1"/>
        <v>#DIV/0!</v>
      </c>
      <c r="S54" s="31"/>
    </row>
    <row r="55" spans="1:18" ht="12.75">
      <c r="A55" t="s">
        <v>121</v>
      </c>
      <c r="B55" s="4"/>
      <c r="C55" s="2"/>
      <c r="D55" s="2"/>
      <c r="E55" s="2"/>
      <c r="F55" s="2"/>
      <c r="G55" s="2"/>
      <c r="H55" s="2"/>
      <c r="I55" s="2"/>
      <c r="J55" s="2"/>
      <c r="K55" s="2">
        <v>8100</v>
      </c>
      <c r="L55" s="2"/>
      <c r="M55" s="2"/>
      <c r="N55" s="2"/>
      <c r="O55" s="2"/>
      <c r="P55" s="2"/>
      <c r="Q55" s="2"/>
      <c r="R55" s="49"/>
    </row>
    <row r="56" spans="1:18" ht="12.75">
      <c r="A56" s="6" t="s">
        <v>23</v>
      </c>
      <c r="B56" s="6"/>
      <c r="C56" s="8">
        <f aca="true" t="shared" si="2" ref="C56:I56">SUM(C7:C55)</f>
        <v>738226</v>
      </c>
      <c r="D56" s="8">
        <f t="shared" si="2"/>
        <v>844120</v>
      </c>
      <c r="E56" s="8">
        <f t="shared" si="2"/>
        <v>894550</v>
      </c>
      <c r="F56" s="8">
        <f t="shared" si="2"/>
        <v>991800</v>
      </c>
      <c r="G56" s="8">
        <f t="shared" si="2"/>
        <v>954749</v>
      </c>
      <c r="H56" s="8">
        <f t="shared" si="2"/>
        <v>937487</v>
      </c>
      <c r="I56" s="8">
        <f t="shared" si="2"/>
        <v>956078</v>
      </c>
      <c r="J56" s="8">
        <v>1325312</v>
      </c>
      <c r="K56" s="8">
        <f>SUM(K7:K55)</f>
        <v>1402333</v>
      </c>
      <c r="L56" s="8">
        <f aca="true" t="shared" si="3" ref="L56:Q56">SUM(L7:L55)</f>
        <v>750655</v>
      </c>
      <c r="M56" s="8">
        <f t="shared" si="3"/>
        <v>1525954</v>
      </c>
      <c r="N56" s="8">
        <f t="shared" si="3"/>
        <v>1566420.90308524</v>
      </c>
      <c r="O56" s="8">
        <f t="shared" si="3"/>
        <v>1648718.99353375</v>
      </c>
      <c r="P56" s="8">
        <f t="shared" si="3"/>
        <v>1571751.97403375</v>
      </c>
      <c r="Q56" s="8">
        <f t="shared" si="3"/>
        <v>1571751.97403375</v>
      </c>
      <c r="R56" s="50">
        <f t="shared" si="1"/>
        <v>0.0034033451277430153</v>
      </c>
    </row>
    <row r="57" ht="12.75">
      <c r="R57" s="49"/>
    </row>
    <row r="58" spans="14:18" ht="12.75">
      <c r="N58" s="21" t="s">
        <v>357</v>
      </c>
      <c r="O58" s="21"/>
      <c r="P58" s="53">
        <f>O56-P56</f>
        <v>76967.01950000017</v>
      </c>
      <c r="R58" s="49"/>
    </row>
    <row r="59" spans="1:16" ht="12.75">
      <c r="A59" s="6"/>
      <c r="N59" s="21" t="s">
        <v>545</v>
      </c>
      <c r="O59" s="21"/>
      <c r="P59" s="53">
        <f>N56-P56</f>
        <v>-5331.070948509965</v>
      </c>
    </row>
    <row r="60" spans="14:16" ht="12.75">
      <c r="N60" s="21" t="s">
        <v>307</v>
      </c>
      <c r="O60" s="21"/>
      <c r="P60" s="53">
        <f>P56-Q56</f>
        <v>0</v>
      </c>
    </row>
    <row r="61" ht="12.75">
      <c r="A61" t="s">
        <v>688</v>
      </c>
    </row>
    <row r="62" ht="12.75">
      <c r="A62" t="s">
        <v>562</v>
      </c>
    </row>
    <row r="63" spans="1:11" ht="12.75">
      <c r="A63" t="s">
        <v>573</v>
      </c>
      <c r="I63" s="41">
        <v>376838</v>
      </c>
      <c r="J63" s="41">
        <v>507965</v>
      </c>
      <c r="K63" s="41">
        <v>553653</v>
      </c>
    </row>
    <row r="64" ht="12.75">
      <c r="A64" t="s">
        <v>619</v>
      </c>
    </row>
    <row r="66" ht="12.75">
      <c r="A66" t="s">
        <v>769</v>
      </c>
    </row>
    <row r="69" ht="12.75">
      <c r="B69" s="4"/>
    </row>
    <row r="70" spans="1:2" ht="12.75">
      <c r="A70" s="16"/>
      <c r="B70" s="18"/>
    </row>
    <row r="71" spans="1:17" ht="12.75">
      <c r="A71" s="16"/>
      <c r="O71" s="17"/>
      <c r="P71" s="17"/>
      <c r="Q71" s="17"/>
    </row>
    <row r="73" ht="12.75">
      <c r="B73" s="4"/>
    </row>
    <row r="74" ht="12.75">
      <c r="A74" s="16"/>
    </row>
    <row r="75" spans="1:17" ht="12.75">
      <c r="A75" s="16"/>
      <c r="O75" s="17"/>
      <c r="P75" s="17"/>
      <c r="Q75" s="17"/>
    </row>
    <row r="78" ht="12.75">
      <c r="A78" s="16"/>
    </row>
    <row r="85" ht="12.75">
      <c r="R85" s="2"/>
    </row>
    <row r="86" ht="12.75">
      <c r="R86" s="2"/>
    </row>
    <row r="87" ht="12.75">
      <c r="R87" s="2"/>
    </row>
    <row r="88" ht="12.75">
      <c r="R88" s="2"/>
    </row>
    <row r="89" ht="12.75">
      <c r="R89" s="2"/>
    </row>
    <row r="90" ht="12.75">
      <c r="R90" s="2"/>
    </row>
    <row r="112" spans="3:17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</sheetData>
  <printOptions gridLines="1"/>
  <pageMargins left="0.25" right="0.25" top="1" bottom="0.55" header="0.5" footer="0.25"/>
  <pageSetup fitToHeight="1" fitToWidth="1" horizontalDpi="300" verticalDpi="300" orientation="landscape" scale="61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S85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1.7109375" style="0" hidden="1" customWidth="1"/>
    <col min="5" max="5" width="7.140625" style="0" hidden="1" customWidth="1"/>
    <col min="6" max="8" width="7.57421875" style="0" hidden="1" customWidth="1"/>
    <col min="9" max="11" width="7.57421875" style="0" customWidth="1"/>
    <col min="12" max="12" width="6.57421875" style="0" customWidth="1"/>
    <col min="13" max="13" width="8.8515625" style="0" customWidth="1"/>
    <col min="14" max="16" width="11.7109375" style="0" customWidth="1"/>
    <col min="17" max="17" width="8.7109375" style="0" bestFit="1" customWidth="1"/>
    <col min="18" max="18" width="7.57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338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339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59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8" ht="12.75">
      <c r="A7" t="s">
        <v>491</v>
      </c>
      <c r="B7" s="4">
        <v>51.11</v>
      </c>
      <c r="C7" s="2">
        <v>5727</v>
      </c>
      <c r="D7" s="2">
        <v>5840</v>
      </c>
      <c r="E7" s="2">
        <v>5236</v>
      </c>
      <c r="F7" s="2">
        <v>7187</v>
      </c>
      <c r="G7" s="2">
        <v>5907</v>
      </c>
      <c r="H7" s="2">
        <v>6191</v>
      </c>
      <c r="I7" s="2">
        <v>5818</v>
      </c>
      <c r="J7" s="2">
        <v>5929</v>
      </c>
      <c r="K7" s="2">
        <v>6067</v>
      </c>
      <c r="L7" s="2">
        <v>3004</v>
      </c>
      <c r="M7" s="2">
        <f>+L7/$L$3*12</f>
        <v>6008</v>
      </c>
      <c r="N7" s="2">
        <v>6200</v>
      </c>
      <c r="O7" s="2">
        <v>6200</v>
      </c>
      <c r="P7" s="2">
        <v>6200</v>
      </c>
      <c r="Q7" s="2">
        <v>6200</v>
      </c>
      <c r="R7" s="64">
        <f>(Q7-N7)/N7</f>
        <v>0</v>
      </c>
    </row>
    <row r="8" spans="1:18" ht="12.75">
      <c r="A8" t="s">
        <v>486</v>
      </c>
      <c r="B8" s="4">
        <v>51.1105</v>
      </c>
      <c r="C8" s="2"/>
      <c r="D8" s="2"/>
      <c r="E8" s="2"/>
      <c r="F8" s="2"/>
      <c r="G8" s="2"/>
      <c r="H8" s="2">
        <v>2360</v>
      </c>
      <c r="I8" s="2">
        <v>2705</v>
      </c>
      <c r="J8" s="2">
        <v>5955</v>
      </c>
      <c r="K8" s="2">
        <v>2965</v>
      </c>
      <c r="L8" s="2">
        <v>1528</v>
      </c>
      <c r="M8" s="2">
        <f>+L8/$L$3*12</f>
        <v>3056</v>
      </c>
      <c r="N8" s="20">
        <v>3000</v>
      </c>
      <c r="O8" s="20">
        <v>3000</v>
      </c>
      <c r="P8" s="20">
        <v>3000</v>
      </c>
      <c r="Q8" s="20">
        <v>3000</v>
      </c>
      <c r="R8" s="64">
        <f>(Q8-N8)/N8</f>
        <v>0</v>
      </c>
    </row>
    <row r="9" spans="1:18" ht="12.75">
      <c r="A9" t="s">
        <v>30</v>
      </c>
      <c r="B9" s="4">
        <v>51.22</v>
      </c>
      <c r="C9" s="2">
        <v>424</v>
      </c>
      <c r="D9" s="2">
        <v>446</v>
      </c>
      <c r="E9" s="2">
        <v>400</v>
      </c>
      <c r="F9" s="2">
        <v>550</v>
      </c>
      <c r="G9" s="2">
        <v>452</v>
      </c>
      <c r="H9" s="2">
        <v>654</v>
      </c>
      <c r="I9" s="2">
        <v>652</v>
      </c>
      <c r="J9" s="2">
        <v>909</v>
      </c>
      <c r="K9" s="2">
        <v>691</v>
      </c>
      <c r="L9" s="2">
        <v>347</v>
      </c>
      <c r="M9" s="2">
        <f>+L9/$L$3*12</f>
        <v>694</v>
      </c>
      <c r="N9" s="2">
        <v>703.8</v>
      </c>
      <c r="O9" s="2">
        <f>(O8+O7)*0.0765</f>
        <v>703.8</v>
      </c>
      <c r="P9" s="2">
        <f>(P8+P7)*0.0765</f>
        <v>703.8</v>
      </c>
      <c r="Q9" s="2">
        <f>(Q8+Q7)*0.0765</f>
        <v>703.8</v>
      </c>
      <c r="R9" s="64">
        <f>(Q9-N9)/N9</f>
        <v>0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4"/>
    </row>
    <row r="11" spans="1:19" ht="12.75">
      <c r="A11" t="s">
        <v>471</v>
      </c>
      <c r="B11" s="4">
        <v>52.1216</v>
      </c>
      <c r="C11" s="2"/>
      <c r="D11" s="2"/>
      <c r="E11" s="2"/>
      <c r="F11" s="2"/>
      <c r="G11" s="2"/>
      <c r="H11" s="2"/>
      <c r="I11" s="2"/>
      <c r="J11" s="2">
        <v>634</v>
      </c>
      <c r="K11" s="2"/>
      <c r="L11" s="2"/>
      <c r="M11" s="2">
        <v>500</v>
      </c>
      <c r="N11" s="2">
        <v>500</v>
      </c>
      <c r="O11" s="2">
        <v>700</v>
      </c>
      <c r="P11" s="2">
        <v>500</v>
      </c>
      <c r="Q11" s="2">
        <v>500</v>
      </c>
      <c r="R11" s="64"/>
      <c r="S11" t="s">
        <v>256</v>
      </c>
    </row>
    <row r="12" spans="1:18" ht="12.75">
      <c r="A12" t="s">
        <v>139</v>
      </c>
      <c r="B12" s="4">
        <v>52.1255</v>
      </c>
      <c r="C12" s="2">
        <v>727</v>
      </c>
      <c r="D12" s="2">
        <v>1050</v>
      </c>
      <c r="E12" s="2">
        <v>525</v>
      </c>
      <c r="F12" s="2">
        <v>1550</v>
      </c>
      <c r="G12" s="2">
        <v>75</v>
      </c>
      <c r="H12" s="2">
        <v>125</v>
      </c>
      <c r="I12" s="2"/>
      <c r="J12" s="2"/>
      <c r="K12" s="2">
        <v>250</v>
      </c>
      <c r="L12" s="2"/>
      <c r="M12" s="2">
        <v>150</v>
      </c>
      <c r="N12" s="2">
        <v>150</v>
      </c>
      <c r="O12" s="2">
        <v>150</v>
      </c>
      <c r="P12" s="2">
        <v>150</v>
      </c>
      <c r="Q12" s="2">
        <v>150</v>
      </c>
      <c r="R12" s="64">
        <f aca="true" t="shared" si="0" ref="R12:R18">(Q12-N12)/N12</f>
        <v>0</v>
      </c>
    </row>
    <row r="13" spans="1:18" ht="12.75">
      <c r="A13" t="s">
        <v>457</v>
      </c>
      <c r="B13" s="4">
        <v>52.1256</v>
      </c>
      <c r="C13" s="2"/>
      <c r="D13" s="2"/>
      <c r="E13" s="2"/>
      <c r="F13" s="2"/>
      <c r="G13" s="2"/>
      <c r="H13" s="2"/>
      <c r="I13" s="2">
        <v>965</v>
      </c>
      <c r="J13" s="2">
        <v>600</v>
      </c>
      <c r="K13" s="2"/>
      <c r="L13" s="2"/>
      <c r="M13" s="2">
        <v>750</v>
      </c>
      <c r="N13" s="2">
        <v>750</v>
      </c>
      <c r="O13" s="2">
        <v>750</v>
      </c>
      <c r="P13" s="2">
        <v>750</v>
      </c>
      <c r="Q13" s="2">
        <v>750</v>
      </c>
      <c r="R13" s="64"/>
    </row>
    <row r="14" spans="1:18" ht="12.75">
      <c r="A14" t="s">
        <v>140</v>
      </c>
      <c r="B14" s="4">
        <v>52.1318</v>
      </c>
      <c r="C14" s="2">
        <v>216</v>
      </c>
      <c r="D14" s="2">
        <v>299</v>
      </c>
      <c r="E14" s="2">
        <v>196</v>
      </c>
      <c r="F14" s="2">
        <v>354</v>
      </c>
      <c r="G14" s="2">
        <v>195</v>
      </c>
      <c r="H14" s="2">
        <v>134</v>
      </c>
      <c r="I14" s="2">
        <v>135</v>
      </c>
      <c r="J14" s="2">
        <v>183</v>
      </c>
      <c r="K14" s="2">
        <v>23</v>
      </c>
      <c r="L14" s="2">
        <v>61</v>
      </c>
      <c r="M14" s="2">
        <v>300</v>
      </c>
      <c r="N14" s="2">
        <v>300</v>
      </c>
      <c r="O14" s="2">
        <v>300</v>
      </c>
      <c r="P14" s="2">
        <v>300</v>
      </c>
      <c r="Q14" s="2">
        <v>300</v>
      </c>
      <c r="R14" s="64">
        <f t="shared" si="0"/>
        <v>0</v>
      </c>
    </row>
    <row r="15" spans="1:18" ht="12.75">
      <c r="A15" t="s">
        <v>407</v>
      </c>
      <c r="B15" s="4">
        <v>52.2206</v>
      </c>
      <c r="C15" s="2"/>
      <c r="D15" s="2"/>
      <c r="E15" s="2"/>
      <c r="F15" s="2"/>
      <c r="G15" s="2"/>
      <c r="H15" s="2">
        <v>300</v>
      </c>
      <c r="I15" s="2">
        <v>431</v>
      </c>
      <c r="J15" s="2"/>
      <c r="K15" s="2"/>
      <c r="L15" s="2"/>
      <c r="M15" s="2">
        <v>300</v>
      </c>
      <c r="N15" s="2">
        <v>300</v>
      </c>
      <c r="O15" s="2">
        <v>300</v>
      </c>
      <c r="P15" s="2">
        <v>300</v>
      </c>
      <c r="Q15" s="2">
        <v>300</v>
      </c>
      <c r="R15" s="64"/>
    </row>
    <row r="16" spans="1:18" ht="12.75">
      <c r="A16" t="s">
        <v>32</v>
      </c>
      <c r="B16" s="4">
        <v>52.32</v>
      </c>
      <c r="C16" s="2">
        <v>484</v>
      </c>
      <c r="D16" s="2">
        <v>611</v>
      </c>
      <c r="E16" s="2">
        <v>383</v>
      </c>
      <c r="F16" s="2">
        <v>580</v>
      </c>
      <c r="G16" s="2">
        <v>522</v>
      </c>
      <c r="H16" s="2">
        <v>526</v>
      </c>
      <c r="I16" s="2">
        <v>471</v>
      </c>
      <c r="J16" s="2">
        <v>281</v>
      </c>
      <c r="K16" s="2">
        <v>344</v>
      </c>
      <c r="L16" s="2">
        <v>168</v>
      </c>
      <c r="M16" s="2">
        <f>+L16/$L$3*12</f>
        <v>336</v>
      </c>
      <c r="N16" s="2">
        <v>400</v>
      </c>
      <c r="O16" s="2">
        <v>400</v>
      </c>
      <c r="P16" s="2">
        <v>400</v>
      </c>
      <c r="Q16" s="2">
        <v>400</v>
      </c>
      <c r="R16" s="64">
        <f t="shared" si="0"/>
        <v>0</v>
      </c>
    </row>
    <row r="17" spans="1:18" ht="12.75">
      <c r="A17" t="s">
        <v>45</v>
      </c>
      <c r="B17" s="4">
        <v>52.35</v>
      </c>
      <c r="C17" s="2">
        <v>837</v>
      </c>
      <c r="D17" s="2">
        <v>1605</v>
      </c>
      <c r="E17" s="2">
        <v>878</v>
      </c>
      <c r="F17" s="2">
        <v>1441</v>
      </c>
      <c r="G17" s="2">
        <v>1062</v>
      </c>
      <c r="H17" s="2">
        <v>904</v>
      </c>
      <c r="I17" s="2">
        <v>1578</v>
      </c>
      <c r="J17" s="2">
        <v>1337</v>
      </c>
      <c r="K17" s="2">
        <v>1535</v>
      </c>
      <c r="L17" s="2">
        <v>532</v>
      </c>
      <c r="M17" s="2">
        <f>+L17/$L$3*12</f>
        <v>1064</v>
      </c>
      <c r="N17" s="2">
        <v>1400</v>
      </c>
      <c r="O17" s="2">
        <v>1700</v>
      </c>
      <c r="P17" s="2">
        <v>1400</v>
      </c>
      <c r="Q17" s="2">
        <v>1400</v>
      </c>
      <c r="R17" s="64">
        <f t="shared" si="0"/>
        <v>0</v>
      </c>
    </row>
    <row r="18" spans="1:18" ht="12.75">
      <c r="A18" t="s">
        <v>35</v>
      </c>
      <c r="B18" s="4">
        <v>52.3602</v>
      </c>
      <c r="C18" s="2">
        <v>100</v>
      </c>
      <c r="D18" s="2">
        <v>100</v>
      </c>
      <c r="E18" s="2">
        <v>50</v>
      </c>
      <c r="F18" s="2">
        <v>100</v>
      </c>
      <c r="G18" s="2">
        <v>100</v>
      </c>
      <c r="H18" s="2">
        <v>150</v>
      </c>
      <c r="I18" s="2">
        <v>150</v>
      </c>
      <c r="J18" s="2">
        <v>150</v>
      </c>
      <c r="K18" s="2">
        <v>75</v>
      </c>
      <c r="L18" s="2">
        <v>75</v>
      </c>
      <c r="M18" s="2">
        <v>150</v>
      </c>
      <c r="N18" s="2">
        <v>150</v>
      </c>
      <c r="O18" s="2">
        <v>150</v>
      </c>
      <c r="P18" s="2">
        <v>150</v>
      </c>
      <c r="Q18" s="2">
        <v>150</v>
      </c>
      <c r="R18" s="64">
        <f t="shared" si="0"/>
        <v>0</v>
      </c>
    </row>
    <row r="19" spans="1:18" ht="12.75">
      <c r="A19" t="s">
        <v>46</v>
      </c>
      <c r="B19" s="4">
        <v>52.37</v>
      </c>
      <c r="C19" s="2"/>
      <c r="D19" s="2"/>
      <c r="E19" s="2">
        <v>410</v>
      </c>
      <c r="F19" s="2">
        <v>853</v>
      </c>
      <c r="G19" s="2">
        <v>300</v>
      </c>
      <c r="H19" s="2">
        <v>600</v>
      </c>
      <c r="I19" s="2"/>
      <c r="J19" s="2"/>
      <c r="K19" s="2">
        <v>300</v>
      </c>
      <c r="L19" s="2">
        <v>300</v>
      </c>
      <c r="M19" s="2">
        <v>300</v>
      </c>
      <c r="N19" s="2">
        <v>600</v>
      </c>
      <c r="O19" s="2">
        <v>600</v>
      </c>
      <c r="P19" s="2">
        <v>300</v>
      </c>
      <c r="Q19" s="2">
        <v>300</v>
      </c>
      <c r="R19" s="64"/>
    </row>
    <row r="20" spans="2:18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50</v>
      </c>
      <c r="P20" s="2"/>
      <c r="Q20" s="2"/>
      <c r="R20" s="64"/>
    </row>
    <row r="21" spans="1:18" ht="12.75">
      <c r="A21" t="s">
        <v>248</v>
      </c>
      <c r="B21" s="4">
        <v>53.14</v>
      </c>
      <c r="C21" s="2"/>
      <c r="D21" s="2"/>
      <c r="E21" s="2"/>
      <c r="F21" s="2"/>
      <c r="G21" s="2"/>
      <c r="H21" s="2">
        <v>190</v>
      </c>
      <c r="I21" s="2"/>
      <c r="J21" s="2"/>
      <c r="K21" s="2"/>
      <c r="L21" s="2"/>
      <c r="M21" s="2"/>
      <c r="N21" s="2"/>
      <c r="O21" s="2"/>
      <c r="P21" s="2"/>
      <c r="Q21" s="2"/>
      <c r="R21" s="64"/>
    </row>
    <row r="22" spans="1:18" ht="12.75">
      <c r="A22" t="s">
        <v>134</v>
      </c>
      <c r="B22" s="4">
        <v>53.1706</v>
      </c>
      <c r="C22" s="2">
        <v>390</v>
      </c>
      <c r="D22" s="2">
        <v>486</v>
      </c>
      <c r="E22" s="2">
        <v>604</v>
      </c>
      <c r="F22" s="2">
        <v>569</v>
      </c>
      <c r="G22" s="2">
        <v>764</v>
      </c>
      <c r="H22" s="2">
        <v>551</v>
      </c>
      <c r="I22" s="2">
        <f>435+145</f>
        <v>580</v>
      </c>
      <c r="J22" s="2">
        <v>587</v>
      </c>
      <c r="K22" s="2">
        <f>476+102</f>
        <v>578</v>
      </c>
      <c r="L22" s="2"/>
      <c r="M22" s="2">
        <v>600</v>
      </c>
      <c r="N22" s="2">
        <v>600</v>
      </c>
      <c r="O22" s="2">
        <v>800</v>
      </c>
      <c r="P22" s="2">
        <v>600</v>
      </c>
      <c r="Q22" s="2">
        <v>600</v>
      </c>
      <c r="R22" s="64">
        <f>(Q22-N22)/N22</f>
        <v>0</v>
      </c>
    </row>
    <row r="23" spans="1:18" ht="12.75">
      <c r="A23" t="s">
        <v>40</v>
      </c>
      <c r="B23" s="4">
        <v>53.171</v>
      </c>
      <c r="C23" s="2">
        <v>62</v>
      </c>
      <c r="D23" s="2">
        <v>452</v>
      </c>
      <c r="E23" s="2">
        <v>1035</v>
      </c>
      <c r="F23" s="2">
        <v>297</v>
      </c>
      <c r="G23" s="2">
        <v>216</v>
      </c>
      <c r="H23" s="2">
        <v>46</v>
      </c>
      <c r="I23" s="2">
        <v>106</v>
      </c>
      <c r="J23" s="2">
        <f>39+173</f>
        <v>212</v>
      </c>
      <c r="K23" s="2">
        <f>146+127</f>
        <v>273</v>
      </c>
      <c r="L23" s="2">
        <v>10</v>
      </c>
      <c r="M23" s="2">
        <v>200</v>
      </c>
      <c r="N23" s="2">
        <v>200</v>
      </c>
      <c r="O23" s="2">
        <v>200</v>
      </c>
      <c r="P23" s="2">
        <v>200</v>
      </c>
      <c r="Q23" s="2">
        <v>200</v>
      </c>
      <c r="R23" s="64">
        <f>(Q23-N23)/N23</f>
        <v>0</v>
      </c>
    </row>
    <row r="24" spans="1:18" ht="12.75">
      <c r="A24" t="s">
        <v>119</v>
      </c>
      <c r="B24" s="4">
        <v>53.173</v>
      </c>
      <c r="C24" s="2">
        <v>80</v>
      </c>
      <c r="D24" s="2">
        <v>70</v>
      </c>
      <c r="E24" s="2">
        <v>99</v>
      </c>
      <c r="F24" s="2">
        <v>159</v>
      </c>
      <c r="G24" s="2">
        <v>132</v>
      </c>
      <c r="H24" s="2">
        <v>140</v>
      </c>
      <c r="I24" s="2">
        <v>151</v>
      </c>
      <c r="J24" s="2">
        <v>82</v>
      </c>
      <c r="K24" s="2">
        <v>147</v>
      </c>
      <c r="L24" s="2"/>
      <c r="M24" s="2">
        <v>150</v>
      </c>
      <c r="N24" s="2">
        <v>150</v>
      </c>
      <c r="O24" s="2">
        <v>150</v>
      </c>
      <c r="P24" s="2">
        <v>150</v>
      </c>
      <c r="Q24" s="2">
        <v>150</v>
      </c>
      <c r="R24" s="64">
        <f>(Q24-N24)/N24</f>
        <v>0</v>
      </c>
    </row>
    <row r="25" spans="1:18" ht="12.75">
      <c r="A25" t="s">
        <v>704</v>
      </c>
      <c r="B25" s="4">
        <v>53.1737</v>
      </c>
      <c r="C25" s="2"/>
      <c r="D25" s="2"/>
      <c r="E25" s="2"/>
      <c r="F25" s="2"/>
      <c r="G25" s="2"/>
      <c r="H25" s="2"/>
      <c r="I25" s="2"/>
      <c r="J25" s="2"/>
      <c r="K25" s="2"/>
      <c r="L25" s="2">
        <v>84</v>
      </c>
      <c r="M25" s="2">
        <v>84</v>
      </c>
      <c r="N25" s="2"/>
      <c r="O25" s="2">
        <v>100</v>
      </c>
      <c r="P25" s="2"/>
      <c r="Q25" s="2"/>
      <c r="R25" s="64"/>
    </row>
    <row r="26" spans="1:18" ht="12.75">
      <c r="A26" t="s">
        <v>79</v>
      </c>
      <c r="B26" s="4">
        <v>53.175</v>
      </c>
      <c r="C26" s="2"/>
      <c r="D26" s="2"/>
      <c r="E26" s="2"/>
      <c r="F26" s="2"/>
      <c r="G26" s="2">
        <v>13</v>
      </c>
      <c r="H26" s="2">
        <v>687</v>
      </c>
      <c r="I26" s="2">
        <v>651</v>
      </c>
      <c r="J26" s="2">
        <v>48</v>
      </c>
      <c r="K26" s="2">
        <v>11</v>
      </c>
      <c r="L26" s="2">
        <v>87</v>
      </c>
      <c r="M26" s="2">
        <f>+L26/$L$3*12</f>
        <v>174</v>
      </c>
      <c r="N26" s="2">
        <v>500</v>
      </c>
      <c r="O26" s="2">
        <v>500</v>
      </c>
      <c r="P26" s="2">
        <v>500</v>
      </c>
      <c r="Q26" s="2">
        <v>500</v>
      </c>
      <c r="R26" s="64"/>
    </row>
    <row r="27" spans="1:18" ht="12.75">
      <c r="A27" t="s">
        <v>406</v>
      </c>
      <c r="B27" s="4">
        <v>53.176</v>
      </c>
      <c r="C27" s="2"/>
      <c r="D27" s="2"/>
      <c r="E27" s="2"/>
      <c r="F27" s="2"/>
      <c r="G27" s="2"/>
      <c r="H27" s="2">
        <v>31</v>
      </c>
      <c r="I27" s="2">
        <v>15</v>
      </c>
      <c r="J27" s="2">
        <v>23</v>
      </c>
      <c r="K27" s="2">
        <v>13</v>
      </c>
      <c r="L27" s="2">
        <v>20</v>
      </c>
      <c r="M27" s="2">
        <f>+L27/$L$3*12</f>
        <v>40</v>
      </c>
      <c r="N27" s="2">
        <v>25</v>
      </c>
      <c r="O27" s="2">
        <v>100</v>
      </c>
      <c r="P27" s="2">
        <v>25</v>
      </c>
      <c r="Q27" s="2">
        <v>25</v>
      </c>
      <c r="R27" s="64"/>
    </row>
    <row r="28" spans="2:18" ht="12.75">
      <c r="B28" s="4"/>
      <c r="C28" s="2"/>
      <c r="D28" s="2"/>
      <c r="E28" s="2"/>
      <c r="F28" s="2"/>
      <c r="G28" s="2"/>
      <c r="H28" s="2"/>
      <c r="I28" s="2"/>
      <c r="J28" s="2">
        <v>201</v>
      </c>
      <c r="K28" s="2"/>
      <c r="L28" s="2"/>
      <c r="M28" s="2">
        <f>+L28/$L$3*12</f>
        <v>0</v>
      </c>
      <c r="N28" s="2"/>
      <c r="O28" s="2"/>
      <c r="P28" s="2"/>
      <c r="Q28" s="2"/>
      <c r="R28" s="64"/>
    </row>
    <row r="29" spans="1:18" ht="12.75">
      <c r="A29" t="s">
        <v>237</v>
      </c>
      <c r="B29" s="4">
        <v>53.179</v>
      </c>
      <c r="C29" s="2"/>
      <c r="D29" s="2"/>
      <c r="E29" s="2"/>
      <c r="F29" s="2"/>
      <c r="G29" s="2"/>
      <c r="H29" s="2">
        <v>461</v>
      </c>
      <c r="I29" s="2">
        <v>632</v>
      </c>
      <c r="J29" s="2">
        <v>1000</v>
      </c>
      <c r="K29" s="2">
        <v>520</v>
      </c>
      <c r="L29" s="2">
        <v>636</v>
      </c>
      <c r="M29" s="2">
        <f>+L29/$L$3*12</f>
        <v>1272</v>
      </c>
      <c r="N29" s="2">
        <v>1000</v>
      </c>
      <c r="O29" s="2">
        <v>1200</v>
      </c>
      <c r="P29" s="2">
        <v>1200</v>
      </c>
      <c r="Q29" s="2">
        <v>1200</v>
      </c>
      <c r="R29" s="64"/>
    </row>
    <row r="30" spans="1:18" ht="12.75">
      <c r="A30" t="s">
        <v>83</v>
      </c>
      <c r="B30" s="4">
        <v>54.25</v>
      </c>
      <c r="C30" s="2"/>
      <c r="D30" s="2"/>
      <c r="E30" s="2">
        <v>679</v>
      </c>
      <c r="F30" s="2">
        <v>629</v>
      </c>
      <c r="G30" s="2">
        <v>250</v>
      </c>
      <c r="H30" s="2">
        <v>2640</v>
      </c>
      <c r="I30" s="2">
        <v>9</v>
      </c>
      <c r="J30" s="2"/>
      <c r="K30" s="2">
        <f>477+328</f>
        <v>805</v>
      </c>
      <c r="L30" s="2"/>
      <c r="M30" s="2"/>
      <c r="N30" s="2"/>
      <c r="O30" s="2"/>
      <c r="P30" s="2"/>
      <c r="Q30" s="2"/>
      <c r="R30" s="64"/>
    </row>
    <row r="31" spans="1:18" ht="12.75">
      <c r="A31" t="s">
        <v>399</v>
      </c>
      <c r="B31" s="4">
        <v>54.26</v>
      </c>
      <c r="C31" s="5"/>
      <c r="D31" s="5"/>
      <c r="E31" s="5"/>
      <c r="F31" s="5"/>
      <c r="G31" s="2">
        <v>415</v>
      </c>
      <c r="H31" s="2"/>
      <c r="I31" s="2"/>
      <c r="J31" s="2"/>
      <c r="K31" s="2">
        <v>715</v>
      </c>
      <c r="L31" s="2"/>
      <c r="M31" s="5"/>
      <c r="N31" s="5"/>
      <c r="O31" s="5"/>
      <c r="P31" s="5"/>
      <c r="Q31" s="5"/>
      <c r="R31" s="64"/>
    </row>
    <row r="32" spans="2:18" ht="12.75">
      <c r="B32" s="4"/>
      <c r="C32" s="5"/>
      <c r="D32" s="5"/>
      <c r="E32" s="5"/>
      <c r="F32" s="5"/>
      <c r="G32" s="2"/>
      <c r="H32" s="2"/>
      <c r="I32" s="2"/>
      <c r="J32" s="2"/>
      <c r="K32" s="2"/>
      <c r="L32" s="2"/>
      <c r="M32" s="5"/>
      <c r="N32" s="5"/>
      <c r="O32" s="5"/>
      <c r="P32" s="5"/>
      <c r="Q32" s="5"/>
      <c r="R32" s="64"/>
    </row>
    <row r="33" spans="2:18" ht="12.75">
      <c r="B33" s="4"/>
      <c r="C33" s="5"/>
      <c r="D33" s="5"/>
      <c r="E33" s="5"/>
      <c r="F33" s="5"/>
      <c r="G33" s="2"/>
      <c r="H33" s="2"/>
      <c r="I33" s="2"/>
      <c r="J33" s="2"/>
      <c r="K33" s="2"/>
      <c r="L33" s="2"/>
      <c r="M33" s="5"/>
      <c r="N33" s="5"/>
      <c r="O33" s="5"/>
      <c r="P33" s="5"/>
      <c r="Q33" s="5"/>
      <c r="R33" s="64"/>
    </row>
    <row r="34" spans="1:18" ht="12.75">
      <c r="A34" s="6" t="s">
        <v>23</v>
      </c>
      <c r="C34" s="8">
        <f aca="true" t="shared" si="1" ref="C34:I34">SUM(C7:C31)</f>
        <v>9047</v>
      </c>
      <c r="D34" s="8">
        <f t="shared" si="1"/>
        <v>10959</v>
      </c>
      <c r="E34" s="8">
        <f t="shared" si="1"/>
        <v>10495</v>
      </c>
      <c r="F34" s="8">
        <f t="shared" si="1"/>
        <v>14269</v>
      </c>
      <c r="G34" s="8">
        <f t="shared" si="1"/>
        <v>10403</v>
      </c>
      <c r="H34" s="8">
        <f t="shared" si="1"/>
        <v>16690</v>
      </c>
      <c r="I34" s="8">
        <f t="shared" si="1"/>
        <v>15049</v>
      </c>
      <c r="J34" s="8">
        <v>18403</v>
      </c>
      <c r="K34" s="8">
        <f aca="true" t="shared" si="2" ref="K34:Q34">SUM(K7:K31)</f>
        <v>15312</v>
      </c>
      <c r="L34" s="8">
        <f t="shared" si="2"/>
        <v>6852</v>
      </c>
      <c r="M34" s="8">
        <f t="shared" si="2"/>
        <v>16128</v>
      </c>
      <c r="N34" s="8">
        <f t="shared" si="2"/>
        <v>16928.8</v>
      </c>
      <c r="O34" s="8">
        <f t="shared" si="2"/>
        <v>18053.8</v>
      </c>
      <c r="P34" s="8">
        <f t="shared" si="2"/>
        <v>16828.8</v>
      </c>
      <c r="Q34" s="8">
        <f t="shared" si="2"/>
        <v>16828.8</v>
      </c>
      <c r="R34" s="68">
        <f>(Q34-N34)/N34</f>
        <v>-0.005907093237559662</v>
      </c>
    </row>
    <row r="35" ht="12.75">
      <c r="R35" s="49"/>
    </row>
    <row r="36" spans="14:18" ht="12.75">
      <c r="N36" s="21" t="s">
        <v>357</v>
      </c>
      <c r="O36" s="21"/>
      <c r="P36" s="53">
        <f>O34-P34</f>
        <v>1225</v>
      </c>
      <c r="R36" s="49"/>
    </row>
    <row r="37" spans="1:18" ht="12.75">
      <c r="A37" s="6"/>
      <c r="N37" s="21" t="s">
        <v>545</v>
      </c>
      <c r="O37" s="21"/>
      <c r="P37" s="53">
        <f>N34-P34</f>
        <v>100</v>
      </c>
      <c r="R37" s="49"/>
    </row>
    <row r="38" spans="14:18" ht="12.75">
      <c r="N38" s="21" t="s">
        <v>307</v>
      </c>
      <c r="O38" s="21"/>
      <c r="P38" s="53">
        <f>P34-Q34</f>
        <v>0</v>
      </c>
      <c r="R38" s="49"/>
    </row>
    <row r="39" spans="1:18" ht="12.75">
      <c r="A39" s="6" t="s">
        <v>422</v>
      </c>
      <c r="R39" s="49"/>
    </row>
    <row r="40" spans="1:18" ht="12.75">
      <c r="A40" t="s">
        <v>485</v>
      </c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48" ht="12.75">
      <c r="R48" s="49"/>
    </row>
    <row r="49" ht="12.75">
      <c r="R49" s="49"/>
    </row>
    <row r="50" ht="12.75">
      <c r="R50" s="49"/>
    </row>
    <row r="51" ht="12.75">
      <c r="R51" s="49"/>
    </row>
    <row r="52" ht="12.75">
      <c r="R52" s="49"/>
    </row>
    <row r="77" ht="12.75">
      <c r="R77" s="2"/>
    </row>
    <row r="78" ht="12.75">
      <c r="R78" s="2"/>
    </row>
    <row r="79" ht="12.75">
      <c r="R79" s="2"/>
    </row>
    <row r="80" spans="3:18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7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</sheetData>
  <printOptions gridLines="1"/>
  <pageMargins left="0.25" right="0.25" top="1" bottom="0.55" header="0.5" footer="0.25"/>
  <pageSetup fitToHeight="1" fitToWidth="1" horizontalDpi="300" verticalDpi="300" orientation="landscape" scale="95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T76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8" width="8.00390625" style="0" hidden="1" customWidth="1"/>
    <col min="9" max="11" width="8.00390625" style="0" customWidth="1"/>
    <col min="12" max="13" width="8.00390625" style="0" bestFit="1" customWidth="1"/>
    <col min="14" max="14" width="10.140625" style="0" customWidth="1"/>
    <col min="16" max="16" width="10.7109375" style="0" bestFit="1" customWidth="1"/>
    <col min="17" max="17" width="8.0039062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340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37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9" ht="12.75">
      <c r="A7" t="s">
        <v>509</v>
      </c>
      <c r="B7" s="4">
        <v>57.215</v>
      </c>
      <c r="C7" s="2">
        <v>15000</v>
      </c>
      <c r="D7" s="2">
        <v>30000</v>
      </c>
      <c r="E7" s="2">
        <v>30000</v>
      </c>
      <c r="F7" s="2">
        <v>30000</v>
      </c>
      <c r="G7" s="2">
        <v>30000</v>
      </c>
      <c r="H7" s="2">
        <v>25000</v>
      </c>
      <c r="I7" s="2">
        <v>25000</v>
      </c>
      <c r="J7" s="2">
        <v>30000</v>
      </c>
      <c r="K7" s="2">
        <v>35000</v>
      </c>
      <c r="L7" s="2">
        <v>17500</v>
      </c>
      <c r="M7" s="2">
        <v>35000</v>
      </c>
      <c r="N7" s="2">
        <v>35000</v>
      </c>
      <c r="O7" s="2">
        <v>38500</v>
      </c>
      <c r="P7" s="2">
        <v>35000</v>
      </c>
      <c r="Q7" s="2">
        <f>P7*0.95</f>
        <v>33250</v>
      </c>
      <c r="R7" s="49">
        <f>(Q7-N7)/N7</f>
        <v>-0.05</v>
      </c>
      <c r="S7" s="6" t="s">
        <v>256</v>
      </c>
    </row>
    <row r="8" spans="1:19" ht="12.75">
      <c r="A8" t="s">
        <v>729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20000</v>
      </c>
      <c r="P8" s="2"/>
      <c r="Q8" s="2">
        <v>20000</v>
      </c>
      <c r="R8" s="49"/>
      <c r="S8" s="6"/>
    </row>
    <row r="9" spans="1:19" ht="12.75">
      <c r="A9" t="s">
        <v>730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29250</v>
      </c>
      <c r="P9" s="2"/>
      <c r="Q9" s="2">
        <f>O9*0.95</f>
        <v>27787.5</v>
      </c>
      <c r="R9" s="49"/>
      <c r="S9" s="6"/>
    </row>
    <row r="10" spans="1:18" ht="12.75">
      <c r="A10" t="s">
        <v>654</v>
      </c>
      <c r="B10" s="4">
        <v>52.1218</v>
      </c>
      <c r="C10" s="5"/>
      <c r="D10" s="5"/>
      <c r="E10" s="5"/>
      <c r="F10" s="5"/>
      <c r="G10" s="5"/>
      <c r="H10" s="5"/>
      <c r="I10" s="5"/>
      <c r="J10" s="5"/>
      <c r="K10" s="2">
        <v>1000</v>
      </c>
      <c r="L10" s="2">
        <v>4000</v>
      </c>
      <c r="M10" s="2">
        <v>4000</v>
      </c>
      <c r="N10" s="5"/>
      <c r="O10" s="5"/>
      <c r="P10" s="2"/>
      <c r="Q10" s="2"/>
      <c r="R10" s="49"/>
    </row>
    <row r="11" spans="2:18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9"/>
    </row>
    <row r="12" spans="1:18" ht="12.75">
      <c r="A12" s="6" t="s">
        <v>23</v>
      </c>
      <c r="B12" s="6"/>
      <c r="C12" s="8">
        <f aca="true" t="shared" si="0" ref="C12:I12">SUM(C7:C11)</f>
        <v>15000</v>
      </c>
      <c r="D12" s="8">
        <f t="shared" si="0"/>
        <v>30000</v>
      </c>
      <c r="E12" s="8">
        <f t="shared" si="0"/>
        <v>30000</v>
      </c>
      <c r="F12" s="8">
        <f t="shared" si="0"/>
        <v>30000</v>
      </c>
      <c r="G12" s="8">
        <f t="shared" si="0"/>
        <v>30000</v>
      </c>
      <c r="H12" s="8">
        <f t="shared" si="0"/>
        <v>25000</v>
      </c>
      <c r="I12" s="8">
        <f t="shared" si="0"/>
        <v>25000</v>
      </c>
      <c r="J12" s="8">
        <v>30000</v>
      </c>
      <c r="K12" s="8">
        <f aca="true" t="shared" si="1" ref="K12:Q12">SUM(K7:K11)</f>
        <v>36000</v>
      </c>
      <c r="L12" s="8">
        <f t="shared" si="1"/>
        <v>21500</v>
      </c>
      <c r="M12" s="8">
        <f t="shared" si="1"/>
        <v>39000</v>
      </c>
      <c r="N12" s="8">
        <f t="shared" si="1"/>
        <v>35000</v>
      </c>
      <c r="O12" s="8">
        <f t="shared" si="1"/>
        <v>87750</v>
      </c>
      <c r="P12" s="8">
        <f t="shared" si="1"/>
        <v>35000</v>
      </c>
      <c r="Q12" s="8">
        <f t="shared" si="1"/>
        <v>81037.5</v>
      </c>
      <c r="R12" s="49">
        <f>(Q12-N12)/N12</f>
        <v>1.315357142857143</v>
      </c>
    </row>
    <row r="13" ht="12.75">
      <c r="R13" s="49"/>
    </row>
    <row r="14" spans="14:18" ht="12.75">
      <c r="N14" s="21" t="s">
        <v>357</v>
      </c>
      <c r="O14" s="21"/>
      <c r="P14" s="53">
        <f>O12-P12</f>
        <v>52750</v>
      </c>
      <c r="R14" s="49"/>
    </row>
    <row r="15" spans="14:18" ht="12.75">
      <c r="N15" s="21" t="s">
        <v>545</v>
      </c>
      <c r="O15" s="21"/>
      <c r="P15" s="53">
        <f>N12-P12</f>
        <v>0</v>
      </c>
      <c r="R15" s="49"/>
    </row>
    <row r="16" spans="14:18" ht="12.75">
      <c r="N16" s="21" t="s">
        <v>307</v>
      </c>
      <c r="O16" s="21"/>
      <c r="P16" s="53">
        <f>P12-Q12</f>
        <v>-46037.5</v>
      </c>
      <c r="R16" s="49"/>
    </row>
    <row r="17" ht="12.75">
      <c r="R17" s="49"/>
    </row>
    <row r="18" spans="1:18" ht="12.75">
      <c r="A18" s="44" t="s">
        <v>9</v>
      </c>
      <c r="R18" s="49"/>
    </row>
    <row r="19" ht="12.75">
      <c r="R19" s="49"/>
    </row>
    <row r="20" spans="1:18" ht="12.75">
      <c r="A20" s="6"/>
      <c r="R20" s="49"/>
    </row>
    <row r="21" ht="12.75">
      <c r="R21" s="49"/>
    </row>
    <row r="22" spans="18:20" ht="12.75">
      <c r="R22" s="49"/>
      <c r="T22" t="s">
        <v>489</v>
      </c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31" ht="12.75"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71" ht="12.75">
      <c r="R71" s="2"/>
    </row>
    <row r="72" ht="12.75">
      <c r="R72" s="2"/>
    </row>
    <row r="73" ht="12.75">
      <c r="R73" s="2"/>
    </row>
    <row r="74" ht="12.75">
      <c r="R74" s="2"/>
    </row>
    <row r="75" ht="12.75">
      <c r="R75" s="2"/>
    </row>
    <row r="76" ht="12.75">
      <c r="R76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2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21" customWidth="1"/>
    <col min="2" max="2" width="7.421875" style="21" bestFit="1" customWidth="1"/>
    <col min="3" max="3" width="11.57421875" style="21" hidden="1" customWidth="1"/>
    <col min="4" max="4" width="8.7109375" style="21" hidden="1" customWidth="1"/>
    <col min="5" max="8" width="9.140625" style="21" hidden="1" customWidth="1"/>
    <col min="9" max="11" width="9.140625" style="21" customWidth="1"/>
    <col min="12" max="13" width="9.140625" style="21" bestFit="1" customWidth="1"/>
    <col min="14" max="14" width="11.00390625" style="21" customWidth="1"/>
    <col min="15" max="15" width="9.140625" style="21" bestFit="1" customWidth="1"/>
    <col min="16" max="16" width="10.28125" style="21" bestFit="1" customWidth="1"/>
    <col min="17" max="18" width="10.140625" style="21" bestFit="1" customWidth="1"/>
    <col min="19" max="19" width="11.7109375" style="21" customWidth="1"/>
    <col min="20" max="16384" width="9.140625" style="21" customWidth="1"/>
  </cols>
  <sheetData>
    <row r="1" ht="12.75">
      <c r="A1" s="21" t="s">
        <v>13</v>
      </c>
    </row>
    <row r="2" ht="12.75">
      <c r="A2" s="21" t="s">
        <v>14</v>
      </c>
    </row>
    <row r="3" spans="1:18" ht="12.75">
      <c r="A3" s="44" t="s">
        <v>294</v>
      </c>
      <c r="F3" s="25"/>
      <c r="G3" s="25"/>
      <c r="H3" s="25"/>
      <c r="I3" s="25"/>
      <c r="J3" s="25"/>
      <c r="K3" s="25"/>
      <c r="L3" s="48">
        <v>6</v>
      </c>
      <c r="R3" s="25" t="s">
        <v>234</v>
      </c>
    </row>
    <row r="4" spans="3:18" ht="12.75">
      <c r="C4" s="25" t="s">
        <v>15</v>
      </c>
      <c r="D4" s="25"/>
      <c r="E4" s="25"/>
      <c r="F4" s="25"/>
      <c r="G4" s="25"/>
      <c r="H4" s="25"/>
      <c r="I4" s="25"/>
      <c r="J4" s="25"/>
      <c r="K4" s="25"/>
      <c r="L4" s="25" t="s">
        <v>305</v>
      </c>
      <c r="N4" s="25"/>
      <c r="O4" s="25" t="s">
        <v>300</v>
      </c>
      <c r="P4" s="25" t="s">
        <v>302</v>
      </c>
      <c r="Q4" s="25" t="s">
        <v>303</v>
      </c>
      <c r="R4" s="25" t="s">
        <v>297</v>
      </c>
    </row>
    <row r="5" spans="3:18" ht="12.75">
      <c r="C5" s="25" t="s">
        <v>16</v>
      </c>
      <c r="D5" s="25" t="s">
        <v>296</v>
      </c>
      <c r="E5" s="25" t="s">
        <v>296</v>
      </c>
      <c r="F5" s="25" t="s">
        <v>296</v>
      </c>
      <c r="G5" s="25" t="s">
        <v>296</v>
      </c>
      <c r="H5" s="25" t="s">
        <v>296</v>
      </c>
      <c r="I5" s="25" t="s">
        <v>296</v>
      </c>
      <c r="J5" s="25" t="s">
        <v>296</v>
      </c>
      <c r="K5" s="25" t="s">
        <v>296</v>
      </c>
      <c r="L5" s="25" t="s">
        <v>296</v>
      </c>
      <c r="M5" s="25" t="s">
        <v>306</v>
      </c>
      <c r="N5" s="25" t="s">
        <v>234</v>
      </c>
      <c r="O5" s="25" t="s">
        <v>301</v>
      </c>
      <c r="P5" s="25" t="s">
        <v>496</v>
      </c>
      <c r="Q5" s="25" t="s">
        <v>295</v>
      </c>
      <c r="R5" s="25" t="s">
        <v>298</v>
      </c>
    </row>
    <row r="6" spans="1:19" ht="12.75">
      <c r="A6" s="21" t="s">
        <v>25</v>
      </c>
      <c r="C6" s="25">
        <v>1999</v>
      </c>
      <c r="D6" s="22">
        <v>2000</v>
      </c>
      <c r="E6" s="22">
        <v>2001</v>
      </c>
      <c r="F6" s="22">
        <v>2002</v>
      </c>
      <c r="G6" s="22">
        <v>2003</v>
      </c>
      <c r="H6" s="22">
        <v>2004</v>
      </c>
      <c r="I6" s="22">
        <v>2005</v>
      </c>
      <c r="J6" s="22">
        <v>2006</v>
      </c>
      <c r="K6" s="22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22" t="s">
        <v>22</v>
      </c>
    </row>
    <row r="7" spans="1:18" ht="12.75">
      <c r="A7" s="21" t="s">
        <v>491</v>
      </c>
      <c r="B7" s="46">
        <v>51.11</v>
      </c>
      <c r="C7" s="29">
        <v>126879</v>
      </c>
      <c r="D7" s="29">
        <v>142598</v>
      </c>
      <c r="E7" s="29">
        <v>147945</v>
      </c>
      <c r="F7" s="29">
        <v>170007</v>
      </c>
      <c r="G7" s="29">
        <v>162379</v>
      </c>
      <c r="H7" s="29">
        <v>202862</v>
      </c>
      <c r="I7" s="29">
        <v>217388</v>
      </c>
      <c r="J7" s="29">
        <v>210122</v>
      </c>
      <c r="K7" s="29">
        <v>245926</v>
      </c>
      <c r="L7" s="2">
        <v>126324</v>
      </c>
      <c r="M7" s="29">
        <f aca="true" t="shared" si="0" ref="M7:M34">(12/$L$3)*L7</f>
        <v>252648</v>
      </c>
      <c r="N7" s="29">
        <v>255236.924</v>
      </c>
      <c r="O7" s="29">
        <v>274724.779</v>
      </c>
      <c r="P7" s="29">
        <v>274724.779</v>
      </c>
      <c r="Q7" s="29">
        <v>274724.779</v>
      </c>
      <c r="R7" s="49">
        <f aca="true" t="shared" si="1" ref="R7:R12">(Q7-N7)/N7</f>
        <v>0.07635202107356528</v>
      </c>
    </row>
    <row r="8" spans="1:18" ht="12.75">
      <c r="A8" s="21" t="s">
        <v>392</v>
      </c>
      <c r="B8" s="46">
        <v>51.12</v>
      </c>
      <c r="C8" s="29"/>
      <c r="D8" s="29"/>
      <c r="E8" s="29"/>
      <c r="F8" s="29"/>
      <c r="G8" s="29">
        <v>2888</v>
      </c>
      <c r="H8" s="29">
        <v>2689</v>
      </c>
      <c r="I8" s="29">
        <v>4897</v>
      </c>
      <c r="J8" s="29">
        <v>7623</v>
      </c>
      <c r="K8" s="29">
        <v>11317</v>
      </c>
      <c r="L8" s="2">
        <v>6240</v>
      </c>
      <c r="M8" s="29">
        <f t="shared" si="0"/>
        <v>12480</v>
      </c>
      <c r="N8" s="29">
        <v>12000</v>
      </c>
      <c r="O8" s="29">
        <v>12000</v>
      </c>
      <c r="P8" s="29">
        <v>12000</v>
      </c>
      <c r="Q8" s="29">
        <v>12000</v>
      </c>
      <c r="R8" s="49">
        <f t="shared" si="1"/>
        <v>0</v>
      </c>
    </row>
    <row r="9" spans="1:18" ht="12.75">
      <c r="A9" s="21" t="s">
        <v>43</v>
      </c>
      <c r="B9" s="46">
        <v>51.13</v>
      </c>
      <c r="C9" s="29">
        <v>887</v>
      </c>
      <c r="D9" s="29">
        <v>1056</v>
      </c>
      <c r="E9" s="29">
        <v>1746</v>
      </c>
      <c r="F9" s="29">
        <v>2292</v>
      </c>
      <c r="G9" s="29">
        <v>1633</v>
      </c>
      <c r="H9" s="29">
        <v>3376</v>
      </c>
      <c r="I9" s="29">
        <v>1847</v>
      </c>
      <c r="J9" s="29">
        <v>2429</v>
      </c>
      <c r="K9" s="29">
        <v>2291</v>
      </c>
      <c r="L9" s="2">
        <v>1617</v>
      </c>
      <c r="M9" s="29">
        <v>2500</v>
      </c>
      <c r="N9" s="29">
        <v>2500</v>
      </c>
      <c r="O9" s="29">
        <v>2500</v>
      </c>
      <c r="P9" s="29">
        <v>2500</v>
      </c>
      <c r="Q9" s="29">
        <v>0</v>
      </c>
      <c r="R9" s="49">
        <f t="shared" si="1"/>
        <v>-1</v>
      </c>
    </row>
    <row r="10" spans="1:19" ht="12.75">
      <c r="A10" s="21" t="s">
        <v>50</v>
      </c>
      <c r="B10" s="46">
        <v>51.21</v>
      </c>
      <c r="C10" s="29">
        <v>5149</v>
      </c>
      <c r="D10" s="29">
        <v>5031</v>
      </c>
      <c r="E10" s="29">
        <v>6372</v>
      </c>
      <c r="F10" s="29">
        <v>5679</v>
      </c>
      <c r="G10" s="29">
        <v>6695</v>
      </c>
      <c r="H10" s="29">
        <v>12525</v>
      </c>
      <c r="I10" s="29">
        <v>12607</v>
      </c>
      <c r="J10" s="29">
        <v>11673</v>
      </c>
      <c r="K10" s="29">
        <v>16044</v>
      </c>
      <c r="L10" s="2">
        <v>8448</v>
      </c>
      <c r="M10" s="29">
        <f t="shared" si="0"/>
        <v>16896</v>
      </c>
      <c r="N10" s="29">
        <v>17662.8</v>
      </c>
      <c r="O10" s="29">
        <f>4800*4</f>
        <v>19200</v>
      </c>
      <c r="P10" s="29">
        <v>19200</v>
      </c>
      <c r="Q10" s="29">
        <v>19200</v>
      </c>
      <c r="R10" s="49">
        <f t="shared" si="1"/>
        <v>0.0870303689109315</v>
      </c>
      <c r="S10" s="21" t="s">
        <v>603</v>
      </c>
    </row>
    <row r="11" spans="1:18" ht="12.75">
      <c r="A11" s="21" t="s">
        <v>30</v>
      </c>
      <c r="B11" s="46">
        <v>51.22</v>
      </c>
      <c r="C11" s="29">
        <v>9924</v>
      </c>
      <c r="D11" s="29">
        <v>10989</v>
      </c>
      <c r="E11" s="29">
        <v>11450</v>
      </c>
      <c r="F11" s="29">
        <v>13340</v>
      </c>
      <c r="G11" s="29">
        <v>12520</v>
      </c>
      <c r="H11" s="29">
        <v>15204</v>
      </c>
      <c r="I11" s="29">
        <v>16053</v>
      </c>
      <c r="J11" s="29">
        <v>16437</v>
      </c>
      <c r="K11" s="29">
        <v>19332</v>
      </c>
      <c r="L11" s="2">
        <v>9992</v>
      </c>
      <c r="M11" s="29">
        <f>(M7+M8+M9)*0.0765</f>
        <v>20473.542</v>
      </c>
      <c r="N11" s="29">
        <v>20634.874686</v>
      </c>
      <c r="O11" s="29">
        <f>(O7+O8+O9)*0.0765</f>
        <v>22125.695593499997</v>
      </c>
      <c r="P11" s="29">
        <f>(P7+P8+P9)*0.0765</f>
        <v>22125.695593499997</v>
      </c>
      <c r="Q11" s="29">
        <f>(Q7+Q8+Q9)*0.0765</f>
        <v>21934.445593499997</v>
      </c>
      <c r="R11" s="49">
        <f t="shared" si="1"/>
        <v>0.06297934575690486</v>
      </c>
    </row>
    <row r="12" spans="1:18" ht="12.75">
      <c r="A12" s="21" t="s">
        <v>44</v>
      </c>
      <c r="B12" s="46">
        <v>51.24</v>
      </c>
      <c r="C12" s="29">
        <v>2036</v>
      </c>
      <c r="D12" s="29">
        <v>2072</v>
      </c>
      <c r="E12" s="29">
        <v>2674</v>
      </c>
      <c r="F12" s="29">
        <v>3855</v>
      </c>
      <c r="G12" s="29">
        <v>5444</v>
      </c>
      <c r="H12" s="29">
        <v>2248</v>
      </c>
      <c r="I12" s="29">
        <v>6368</v>
      </c>
      <c r="J12" s="29">
        <v>2910</v>
      </c>
      <c r="K12" s="29">
        <v>21454</v>
      </c>
      <c r="L12" s="2">
        <v>7434</v>
      </c>
      <c r="M12" s="29">
        <f>(12/$L$3)*L12</f>
        <v>14868</v>
      </c>
      <c r="N12" s="29">
        <v>14900</v>
      </c>
      <c r="O12" s="29">
        <v>16600</v>
      </c>
      <c r="P12" s="29">
        <v>16600</v>
      </c>
      <c r="Q12" s="29">
        <v>16600</v>
      </c>
      <c r="R12" s="49">
        <f t="shared" si="1"/>
        <v>0.11409395973154363</v>
      </c>
    </row>
    <row r="13" spans="2:19" ht="12.75">
      <c r="B13" s="46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9"/>
      <c r="S13" s="29"/>
    </row>
    <row r="14" spans="1:18" ht="12.75">
      <c r="A14" s="21" t="s">
        <v>403</v>
      </c>
      <c r="B14" s="46">
        <v>52.1211</v>
      </c>
      <c r="C14" s="29"/>
      <c r="D14" s="29"/>
      <c r="E14" s="29"/>
      <c r="F14" s="29"/>
      <c r="G14" s="29"/>
      <c r="H14" s="29"/>
      <c r="I14" s="29"/>
      <c r="J14" s="29"/>
      <c r="K14" s="29">
        <v>1005</v>
      </c>
      <c r="L14" s="29"/>
      <c r="M14" s="29"/>
      <c r="N14" s="29"/>
      <c r="O14" s="29"/>
      <c r="P14" s="29"/>
      <c r="Q14" s="29"/>
      <c r="R14" s="49"/>
    </row>
    <row r="15" spans="1:18" ht="12.75">
      <c r="A15" s="21" t="s">
        <v>446</v>
      </c>
      <c r="B15" s="46">
        <v>52.122</v>
      </c>
      <c r="C15" s="29"/>
      <c r="D15" s="29"/>
      <c r="E15" s="29"/>
      <c r="F15" s="29"/>
      <c r="G15" s="29"/>
      <c r="H15" s="29"/>
      <c r="I15" s="29">
        <v>18445</v>
      </c>
      <c r="J15" s="29">
        <v>6956</v>
      </c>
      <c r="K15" s="29"/>
      <c r="L15" s="29"/>
      <c r="M15" s="29"/>
      <c r="N15" s="29"/>
      <c r="O15" s="29"/>
      <c r="P15" s="29"/>
      <c r="Q15" s="29"/>
      <c r="R15" s="49"/>
    </row>
    <row r="16" spans="1:18" ht="12.75" hidden="1">
      <c r="A16" s="21" t="s">
        <v>247</v>
      </c>
      <c r="B16" s="46">
        <v>52.1305</v>
      </c>
      <c r="C16" s="29"/>
      <c r="D16" s="29"/>
      <c r="E16" s="29"/>
      <c r="F16" s="29">
        <v>114</v>
      </c>
      <c r="G16" s="29"/>
      <c r="H16" s="29"/>
      <c r="I16" s="29"/>
      <c r="J16" s="29"/>
      <c r="K16" s="29"/>
      <c r="L16" s="29"/>
      <c r="M16" s="29">
        <f t="shared" si="0"/>
        <v>0</v>
      </c>
      <c r="N16" s="29"/>
      <c r="O16" s="29"/>
      <c r="P16" s="29"/>
      <c r="Q16" s="29"/>
      <c r="R16" s="49"/>
    </row>
    <row r="17" spans="1:18" ht="12.75" hidden="1">
      <c r="A17" s="21" t="s">
        <v>258</v>
      </c>
      <c r="B17" s="46">
        <v>52.131</v>
      </c>
      <c r="C17" s="29"/>
      <c r="D17" s="29"/>
      <c r="E17" s="29">
        <v>1670</v>
      </c>
      <c r="F17" s="29"/>
      <c r="G17" s="29">
        <v>1500</v>
      </c>
      <c r="H17" s="29"/>
      <c r="I17" s="29"/>
      <c r="J17" s="29"/>
      <c r="K17" s="29"/>
      <c r="L17" s="29"/>
      <c r="M17" s="29">
        <f t="shared" si="0"/>
        <v>0</v>
      </c>
      <c r="N17" s="29"/>
      <c r="O17" s="29"/>
      <c r="P17" s="29"/>
      <c r="Q17" s="29"/>
      <c r="R17" s="49"/>
    </row>
    <row r="18" spans="2:18" ht="12.75">
      <c r="B18" s="46">
        <v>52.1319</v>
      </c>
      <c r="C18" s="29"/>
      <c r="D18" s="29"/>
      <c r="E18" s="29"/>
      <c r="F18" s="29"/>
      <c r="G18" s="29">
        <v>395</v>
      </c>
      <c r="H18" s="29"/>
      <c r="I18" s="29"/>
      <c r="J18" s="29">
        <v>171</v>
      </c>
      <c r="K18" s="29"/>
      <c r="L18" s="29"/>
      <c r="M18" s="29"/>
      <c r="N18" s="29"/>
      <c r="O18" s="29"/>
      <c r="P18" s="29"/>
      <c r="Q18" s="29"/>
      <c r="R18" s="49"/>
    </row>
    <row r="19" spans="1:19" ht="12.75">
      <c r="A19" s="21" t="s">
        <v>32</v>
      </c>
      <c r="B19" s="46">
        <v>52.32</v>
      </c>
      <c r="C19" s="29">
        <v>15200</v>
      </c>
      <c r="D19" s="29">
        <v>17341</v>
      </c>
      <c r="E19" s="29">
        <v>15986</v>
      </c>
      <c r="F19" s="29">
        <v>16288</v>
      </c>
      <c r="G19" s="29">
        <v>13454</v>
      </c>
      <c r="H19" s="29">
        <v>8232</v>
      </c>
      <c r="I19" s="29">
        <v>8100</v>
      </c>
      <c r="J19" s="29">
        <v>8600</v>
      </c>
      <c r="K19" s="29">
        <v>9131</v>
      </c>
      <c r="L19" s="2">
        <v>4554</v>
      </c>
      <c r="M19" s="29">
        <f t="shared" si="0"/>
        <v>9108</v>
      </c>
      <c r="N19" s="29">
        <v>9000</v>
      </c>
      <c r="O19" s="29">
        <v>9000</v>
      </c>
      <c r="P19" s="29">
        <v>9000</v>
      </c>
      <c r="Q19" s="29">
        <v>9000</v>
      </c>
      <c r="R19" s="49">
        <f>(Q19-N19)/N19</f>
        <v>0</v>
      </c>
      <c r="S19" s="44"/>
    </row>
    <row r="20" spans="1:18" ht="12.75">
      <c r="A20" s="21" t="s">
        <v>33</v>
      </c>
      <c r="B20" s="46">
        <v>52.321</v>
      </c>
      <c r="C20" s="29">
        <v>1416</v>
      </c>
      <c r="D20" s="29">
        <v>1766</v>
      </c>
      <c r="E20" s="29">
        <v>2778</v>
      </c>
      <c r="F20" s="29">
        <v>1501</v>
      </c>
      <c r="G20" s="29">
        <v>1143</v>
      </c>
      <c r="H20" s="29">
        <v>112</v>
      </c>
      <c r="I20" s="29">
        <v>636</v>
      </c>
      <c r="J20" s="29">
        <v>491</v>
      </c>
      <c r="K20" s="29">
        <f>196+43</f>
        <v>239</v>
      </c>
      <c r="L20" s="2">
        <v>396</v>
      </c>
      <c r="M20" s="29">
        <f t="shared" si="0"/>
        <v>792</v>
      </c>
      <c r="N20" s="29">
        <v>800</v>
      </c>
      <c r="O20" s="29">
        <v>800</v>
      </c>
      <c r="P20" s="29">
        <v>800</v>
      </c>
      <c r="Q20" s="29">
        <v>800</v>
      </c>
      <c r="R20" s="49">
        <f>(Q20-N20)/N20</f>
        <v>0</v>
      </c>
    </row>
    <row r="21" spans="1:18" ht="11.25" customHeight="1">
      <c r="A21" s="21" t="s">
        <v>45</v>
      </c>
      <c r="B21" s="46">
        <v>52.35</v>
      </c>
      <c r="C21" s="29">
        <v>6411</v>
      </c>
      <c r="D21" s="29">
        <v>7764</v>
      </c>
      <c r="E21" s="29">
        <v>3673</v>
      </c>
      <c r="F21" s="29">
        <v>2980</v>
      </c>
      <c r="G21" s="29">
        <v>1132</v>
      </c>
      <c r="H21" s="29">
        <v>4105</v>
      </c>
      <c r="I21" s="29">
        <v>2182</v>
      </c>
      <c r="J21" s="29">
        <v>2838</v>
      </c>
      <c r="K21" s="29">
        <v>2583</v>
      </c>
      <c r="L21" s="2">
        <v>1038</v>
      </c>
      <c r="M21" s="29">
        <f t="shared" si="0"/>
        <v>2076</v>
      </c>
      <c r="N21" s="29">
        <v>3500</v>
      </c>
      <c r="O21" s="29">
        <v>3000</v>
      </c>
      <c r="P21" s="29">
        <v>3000</v>
      </c>
      <c r="Q21" s="29">
        <v>3000</v>
      </c>
      <c r="R21" s="49">
        <f>(Q21-N21)/N21</f>
        <v>-0.14285714285714285</v>
      </c>
    </row>
    <row r="22" spans="1:18" ht="12.75" hidden="1">
      <c r="A22" s="21" t="s">
        <v>35</v>
      </c>
      <c r="B22" s="46">
        <v>52.3602</v>
      </c>
      <c r="C22" s="29">
        <v>30</v>
      </c>
      <c r="D22" s="29">
        <v>145</v>
      </c>
      <c r="E22" s="29">
        <v>130</v>
      </c>
      <c r="F22" s="29">
        <v>170</v>
      </c>
      <c r="G22" s="29">
        <v>50</v>
      </c>
      <c r="H22" s="29"/>
      <c r="I22" s="29"/>
      <c r="J22" s="29"/>
      <c r="K22" s="29"/>
      <c r="L22" s="29"/>
      <c r="M22" s="29">
        <f t="shared" si="0"/>
        <v>0</v>
      </c>
      <c r="N22" s="29"/>
      <c r="O22" s="29"/>
      <c r="P22" s="29"/>
      <c r="Q22" s="29"/>
      <c r="R22" s="49"/>
    </row>
    <row r="23" spans="1:18" ht="12.75">
      <c r="A23" s="21" t="s">
        <v>46</v>
      </c>
      <c r="B23" s="46">
        <v>52.37</v>
      </c>
      <c r="C23" s="29"/>
      <c r="D23" s="29"/>
      <c r="E23" s="29">
        <v>3484</v>
      </c>
      <c r="F23" s="29">
        <v>2170</v>
      </c>
      <c r="G23" s="29">
        <v>1939</v>
      </c>
      <c r="H23" s="29">
        <v>4285</v>
      </c>
      <c r="I23" s="29"/>
      <c r="J23" s="29">
        <v>2240</v>
      </c>
      <c r="K23" s="29">
        <v>3075</v>
      </c>
      <c r="L23" s="2">
        <v>1970</v>
      </c>
      <c r="M23" s="29">
        <f t="shared" si="0"/>
        <v>3940</v>
      </c>
      <c r="N23" s="29">
        <v>2500</v>
      </c>
      <c r="O23" s="29">
        <v>2500</v>
      </c>
      <c r="P23" s="29">
        <v>2500</v>
      </c>
      <c r="Q23" s="29">
        <v>2500</v>
      </c>
      <c r="R23" s="49"/>
    </row>
    <row r="24" spans="1:18" ht="12.75">
      <c r="A24" s="21" t="s">
        <v>447</v>
      </c>
      <c r="B24" s="46">
        <v>53.1323</v>
      </c>
      <c r="C24" s="29"/>
      <c r="D24" s="29"/>
      <c r="E24" s="29"/>
      <c r="F24" s="29"/>
      <c r="G24" s="29"/>
      <c r="H24" s="29"/>
      <c r="I24" s="29">
        <v>1184</v>
      </c>
      <c r="J24" s="29">
        <v>700</v>
      </c>
      <c r="K24" s="29"/>
      <c r="L24" s="29">
        <v>15</v>
      </c>
      <c r="M24" s="29"/>
      <c r="N24" s="29"/>
      <c r="O24" s="29"/>
      <c r="P24" s="29"/>
      <c r="Q24" s="29"/>
      <c r="R24" s="49"/>
    </row>
    <row r="25" spans="2:18" ht="12.75">
      <c r="B25" s="4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9"/>
    </row>
    <row r="26" spans="1:18" ht="12.75">
      <c r="A26" s="21" t="s">
        <v>261</v>
      </c>
      <c r="B26" s="46">
        <v>53.1704</v>
      </c>
      <c r="C26" s="29"/>
      <c r="D26" s="29"/>
      <c r="E26" s="29">
        <v>38</v>
      </c>
      <c r="F26" s="29"/>
      <c r="G26" s="29"/>
      <c r="H26" s="29">
        <v>31</v>
      </c>
      <c r="I26" s="29">
        <v>8</v>
      </c>
      <c r="J26" s="29"/>
      <c r="K26" s="29"/>
      <c r="L26" s="29"/>
      <c r="M26" s="29">
        <f t="shared" si="0"/>
        <v>0</v>
      </c>
      <c r="N26" s="29"/>
      <c r="O26" s="29"/>
      <c r="P26" s="29"/>
      <c r="Q26" s="29"/>
      <c r="R26" s="49"/>
    </row>
    <row r="27" spans="1:18" ht="12.75">
      <c r="A27" s="21" t="s">
        <v>40</v>
      </c>
      <c r="B27" s="46">
        <v>53.171</v>
      </c>
      <c r="C27" s="29">
        <v>2466</v>
      </c>
      <c r="D27" s="29">
        <v>2367</v>
      </c>
      <c r="E27" s="29">
        <v>3434</v>
      </c>
      <c r="F27" s="29">
        <v>1995</v>
      </c>
      <c r="G27" s="29">
        <v>3920</v>
      </c>
      <c r="H27" s="29">
        <v>2434</v>
      </c>
      <c r="I27" s="29">
        <v>1778</v>
      </c>
      <c r="J27" s="29">
        <v>1852</v>
      </c>
      <c r="K27" s="29">
        <v>1810</v>
      </c>
      <c r="L27" s="29">
        <v>1015</v>
      </c>
      <c r="M27" s="29">
        <f t="shared" si="0"/>
        <v>2030</v>
      </c>
      <c r="N27" s="29">
        <v>2400</v>
      </c>
      <c r="O27" s="29">
        <v>2400</v>
      </c>
      <c r="P27" s="29">
        <v>2400</v>
      </c>
      <c r="Q27" s="29">
        <v>2400</v>
      </c>
      <c r="R27" s="49">
        <f>(Q27-N27)/N27</f>
        <v>0</v>
      </c>
    </row>
    <row r="28" spans="1:19" ht="12.75" hidden="1">
      <c r="A28" s="21" t="s">
        <v>259</v>
      </c>
      <c r="B28" s="46">
        <v>53.175</v>
      </c>
      <c r="C28" s="29"/>
      <c r="D28" s="29"/>
      <c r="E28" s="29">
        <v>8</v>
      </c>
      <c r="F28" s="29">
        <v>168</v>
      </c>
      <c r="G28" s="29"/>
      <c r="H28" s="29"/>
      <c r="I28" s="29"/>
      <c r="J28" s="29"/>
      <c r="K28" s="29"/>
      <c r="L28" s="29"/>
      <c r="M28" s="29">
        <f t="shared" si="0"/>
        <v>0</v>
      </c>
      <c r="N28" s="29"/>
      <c r="O28" s="29"/>
      <c r="P28" s="29"/>
      <c r="Q28" s="29"/>
      <c r="R28" s="49"/>
      <c r="S28" s="21" t="s">
        <v>402</v>
      </c>
    </row>
    <row r="29" spans="1:19" ht="12.75" hidden="1">
      <c r="A29" s="21" t="s">
        <v>506</v>
      </c>
      <c r="B29" s="46">
        <v>53.176</v>
      </c>
      <c r="C29" s="29"/>
      <c r="D29" s="29"/>
      <c r="E29" s="29">
        <v>29</v>
      </c>
      <c r="F29" s="29">
        <v>7</v>
      </c>
      <c r="G29" s="29"/>
      <c r="H29" s="29"/>
      <c r="I29" s="29"/>
      <c r="J29" s="29"/>
      <c r="K29" s="29"/>
      <c r="L29" s="29"/>
      <c r="M29" s="29">
        <f t="shared" si="0"/>
        <v>0</v>
      </c>
      <c r="N29" s="29"/>
      <c r="O29" s="29"/>
      <c r="P29" s="29"/>
      <c r="Q29" s="29"/>
      <c r="R29" s="49"/>
      <c r="S29" s="21" t="s">
        <v>402</v>
      </c>
    </row>
    <row r="30" spans="1:19" ht="12.75" hidden="1">
      <c r="A30" s="21" t="s">
        <v>260</v>
      </c>
      <c r="B30" s="46">
        <v>53.177</v>
      </c>
      <c r="C30" s="29"/>
      <c r="D30" s="29"/>
      <c r="F30" s="29">
        <v>48</v>
      </c>
      <c r="G30" s="29"/>
      <c r="H30" s="29"/>
      <c r="I30" s="29"/>
      <c r="J30" s="29"/>
      <c r="K30" s="29"/>
      <c r="L30" s="29"/>
      <c r="M30" s="29">
        <f t="shared" si="0"/>
        <v>0</v>
      </c>
      <c r="N30" s="29"/>
      <c r="O30" s="29"/>
      <c r="P30" s="29"/>
      <c r="Q30" s="29"/>
      <c r="R30" s="49"/>
      <c r="S30" s="21" t="s">
        <v>402</v>
      </c>
    </row>
    <row r="31" spans="1:19" ht="12.75" hidden="1">
      <c r="A31" s="21" t="s">
        <v>70</v>
      </c>
      <c r="B31" s="46">
        <v>53.179</v>
      </c>
      <c r="C31" s="29"/>
      <c r="D31" s="29">
        <v>10</v>
      </c>
      <c r="E31" s="29">
        <v>7</v>
      </c>
      <c r="F31" s="29">
        <v>239</v>
      </c>
      <c r="G31" s="29"/>
      <c r="H31" s="29"/>
      <c r="I31" s="29"/>
      <c r="J31" s="29"/>
      <c r="K31" s="29"/>
      <c r="L31" s="29"/>
      <c r="M31" s="29">
        <f t="shared" si="0"/>
        <v>0</v>
      </c>
      <c r="N31" s="29"/>
      <c r="O31" s="29"/>
      <c r="P31" s="29"/>
      <c r="Q31" s="29"/>
      <c r="R31" s="49"/>
      <c r="S31" s="21" t="s">
        <v>402</v>
      </c>
    </row>
    <row r="32" spans="1:18" ht="12.75">
      <c r="A32" s="21" t="s">
        <v>466</v>
      </c>
      <c r="B32" s="46">
        <v>53.1728</v>
      </c>
      <c r="C32" s="29"/>
      <c r="D32" s="29"/>
      <c r="E32" s="29"/>
      <c r="F32" s="29"/>
      <c r="G32" s="29"/>
      <c r="H32" s="29"/>
      <c r="I32" s="29">
        <v>197</v>
      </c>
      <c r="J32" s="29"/>
      <c r="K32" s="29"/>
      <c r="L32" s="29"/>
      <c r="M32" s="29"/>
      <c r="N32" s="29"/>
      <c r="O32" s="29"/>
      <c r="P32" s="29"/>
      <c r="Q32" s="29"/>
      <c r="R32" s="49"/>
    </row>
    <row r="33" spans="2:18" ht="12.75">
      <c r="B33" s="46"/>
      <c r="C33" s="29"/>
      <c r="D33" s="29"/>
      <c r="E33" s="29"/>
      <c r="F33" s="29"/>
      <c r="G33" s="29"/>
      <c r="H33" s="29"/>
      <c r="I33" s="29">
        <v>638</v>
      </c>
      <c r="J33" s="29"/>
      <c r="K33" s="29"/>
      <c r="L33" s="29"/>
      <c r="M33" s="29">
        <f t="shared" si="0"/>
        <v>0</v>
      </c>
      <c r="N33" s="29"/>
      <c r="O33" s="29"/>
      <c r="P33" s="29"/>
      <c r="Q33" s="29"/>
      <c r="R33" s="49"/>
    </row>
    <row r="34" spans="1:18" ht="12.75" hidden="1">
      <c r="A34" s="21" t="s">
        <v>55</v>
      </c>
      <c r="B34" s="46">
        <v>54.22</v>
      </c>
      <c r="C34" s="29"/>
      <c r="D34" s="29"/>
      <c r="E34" s="29">
        <v>3618</v>
      </c>
      <c r="F34" s="29"/>
      <c r="G34" s="29"/>
      <c r="H34" s="29"/>
      <c r="I34" s="29"/>
      <c r="J34" s="29"/>
      <c r="K34" s="29"/>
      <c r="L34" s="29"/>
      <c r="M34" s="29">
        <f t="shared" si="0"/>
        <v>0</v>
      </c>
      <c r="N34" s="29"/>
      <c r="O34" s="29"/>
      <c r="P34" s="29"/>
      <c r="Q34" s="29"/>
      <c r="R34" s="49"/>
    </row>
    <row r="35" spans="1:18" ht="12.75">
      <c r="A35" s="21" t="s">
        <v>121</v>
      </c>
      <c r="B35" s="46">
        <v>54.24</v>
      </c>
      <c r="C35" s="29"/>
      <c r="D35" s="29"/>
      <c r="E35" s="29"/>
      <c r="F35" s="29">
        <v>1299</v>
      </c>
      <c r="G35" s="29">
        <v>190</v>
      </c>
      <c r="H35" s="29">
        <v>49</v>
      </c>
      <c r="I35" s="29">
        <f>114+107</f>
        <v>221</v>
      </c>
      <c r="J35" s="29">
        <v>20901</v>
      </c>
      <c r="K35" s="29"/>
      <c r="L35" s="2"/>
      <c r="M35" s="29"/>
      <c r="N35" s="29"/>
      <c r="O35" s="29"/>
      <c r="P35" s="29"/>
      <c r="Q35" s="29"/>
      <c r="R35" s="49"/>
    </row>
    <row r="36" spans="1:18" ht="12.75">
      <c r="A36" s="21" t="s">
        <v>519</v>
      </c>
      <c r="B36" s="4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9"/>
    </row>
    <row r="37" spans="2:18" ht="12.75">
      <c r="B37" s="4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9"/>
    </row>
    <row r="38" spans="1:18" ht="12.75">
      <c r="A38" s="44" t="s">
        <v>23</v>
      </c>
      <c r="B38" s="44"/>
      <c r="C38" s="47">
        <v>172023</v>
      </c>
      <c r="D38" s="45">
        <v>192947</v>
      </c>
      <c r="E38" s="45">
        <v>206866</v>
      </c>
      <c r="F38" s="45">
        <v>222152</v>
      </c>
      <c r="G38" s="45">
        <v>215282</v>
      </c>
      <c r="H38" s="45">
        <v>258152</v>
      </c>
      <c r="I38" s="45">
        <v>292549</v>
      </c>
      <c r="J38" s="45">
        <v>307781</v>
      </c>
      <c r="K38" s="45">
        <v>334207</v>
      </c>
      <c r="L38" s="45">
        <f aca="true" t="shared" si="2" ref="L38:Q38">SUM(L7:L37)</f>
        <v>169043</v>
      </c>
      <c r="M38" s="45">
        <f t="shared" si="2"/>
        <v>337811.542</v>
      </c>
      <c r="N38" s="45">
        <f>SUM(N7:N37)</f>
        <v>341134.598686</v>
      </c>
      <c r="O38" s="45">
        <f t="shared" si="2"/>
        <v>364850.47459349997</v>
      </c>
      <c r="P38" s="45">
        <f t="shared" si="2"/>
        <v>364850.47459349997</v>
      </c>
      <c r="Q38" s="45">
        <f t="shared" si="2"/>
        <v>362159.22459349997</v>
      </c>
      <c r="R38" s="50">
        <f>(Q38-N38)/N38</f>
        <v>0.061631467428058404</v>
      </c>
    </row>
    <row r="40" spans="14:18" ht="12.75">
      <c r="N40" s="21" t="s">
        <v>357</v>
      </c>
      <c r="P40" s="53">
        <f>O38-P38</f>
        <v>0</v>
      </c>
      <c r="Q40" s="52"/>
      <c r="R40" s="41"/>
    </row>
    <row r="41" spans="14:16" ht="12.75">
      <c r="N41" s="21" t="s">
        <v>545</v>
      </c>
      <c r="P41" s="53">
        <f>N38-P38</f>
        <v>-23715.875907499983</v>
      </c>
    </row>
    <row r="42" spans="14:16" ht="12.75">
      <c r="N42" s="21" t="s">
        <v>307</v>
      </c>
      <c r="P42" s="53">
        <f>P38-Q38</f>
        <v>2691.25</v>
      </c>
    </row>
    <row r="44" ht="12.75">
      <c r="A44" t="s">
        <v>769</v>
      </c>
    </row>
    <row r="47" ht="12.75">
      <c r="A47" s="44"/>
    </row>
    <row r="80" spans="3:15" ht="12.75">
      <c r="C80" s="29"/>
      <c r="D80" s="29"/>
      <c r="E80" s="29"/>
      <c r="F80" s="29"/>
      <c r="G80" s="29"/>
      <c r="H80" s="29"/>
      <c r="I80" s="29"/>
      <c r="J80" s="29"/>
      <c r="K80" s="29"/>
      <c r="N80" s="29"/>
      <c r="O80" s="29"/>
    </row>
    <row r="81" spans="3:15" ht="12.75">
      <c r="C81" s="29"/>
      <c r="D81" s="29"/>
      <c r="E81" s="29"/>
      <c r="F81" s="29"/>
      <c r="G81" s="29"/>
      <c r="H81" s="29"/>
      <c r="I81" s="29"/>
      <c r="J81" s="29"/>
      <c r="K81" s="29"/>
      <c r="N81" s="29"/>
      <c r="O81" s="29"/>
    </row>
    <row r="82" spans="3:15" ht="12.75">
      <c r="C82" s="29"/>
      <c r="D82" s="29"/>
      <c r="E82" s="29"/>
      <c r="F82" s="29"/>
      <c r="G82" s="29"/>
      <c r="H82" s="29"/>
      <c r="I82" s="29"/>
      <c r="J82" s="29"/>
      <c r="K82" s="29"/>
      <c r="N82" s="29"/>
      <c r="O82" s="29"/>
    </row>
    <row r="83" spans="3:15" ht="12.75">
      <c r="C83" s="29"/>
      <c r="D83" s="29"/>
      <c r="E83" s="29"/>
      <c r="F83" s="29"/>
      <c r="G83" s="29"/>
      <c r="H83" s="29"/>
      <c r="I83" s="29"/>
      <c r="J83" s="29"/>
      <c r="K83" s="29"/>
      <c r="N83" s="29"/>
      <c r="O83" s="29"/>
    </row>
    <row r="84" spans="3:15" ht="12.7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ht="12.7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2:13" ht="12.75">
      <c r="L86" s="29"/>
      <c r="M86" s="29"/>
    </row>
    <row r="87" spans="12:18" ht="12.75">
      <c r="L87" s="29"/>
      <c r="M87" s="29"/>
      <c r="P87" s="29"/>
      <c r="Q87" s="29"/>
      <c r="R87" s="29"/>
    </row>
    <row r="88" spans="12:18" ht="12.75">
      <c r="L88" s="29"/>
      <c r="M88" s="29"/>
      <c r="P88" s="29"/>
      <c r="Q88" s="29"/>
      <c r="R88" s="29"/>
    </row>
    <row r="89" spans="12:18" ht="12.75">
      <c r="L89" s="29"/>
      <c r="M89" s="29"/>
      <c r="P89" s="29"/>
      <c r="Q89" s="29"/>
      <c r="R89" s="29"/>
    </row>
    <row r="90" spans="16:18" ht="12.75">
      <c r="P90" s="29"/>
      <c r="Q90" s="29"/>
      <c r="R90" s="29"/>
    </row>
    <row r="91" spans="16:18" ht="12.75">
      <c r="P91" s="29"/>
      <c r="Q91" s="29"/>
      <c r="R91" s="29"/>
    </row>
    <row r="92" spans="16:18" ht="12.75">
      <c r="P92" s="29"/>
      <c r="Q92" s="29"/>
      <c r="R92" s="29"/>
    </row>
  </sheetData>
  <printOptions gridLines="1"/>
  <pageMargins left="0.25" right="0.25" top="1" bottom="0.55" header="0.5" footer="0.25"/>
  <pageSetup fitToHeight="1" fitToWidth="1" horizontalDpi="300" verticalDpi="300" orientation="landscape" scale="86" r:id="rId1"/>
  <headerFooter alignWithMargins="0">
    <oddFooter>&amp;L&amp;F
&amp;A&amp;CPage &amp;P of &amp;N&amp;R&amp;D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77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8" width="11.7109375" style="0" hidden="1" customWidth="1"/>
    <col min="9" max="11" width="11.7109375" style="0" customWidth="1"/>
    <col min="12" max="12" width="10.8515625" style="0" customWidth="1"/>
    <col min="13" max="13" width="7.7109375" style="0" bestFit="1" customWidth="1"/>
    <col min="14" max="14" width="10.00390625" style="0" customWidth="1"/>
    <col min="15" max="15" width="10.421875" style="0" customWidth="1"/>
    <col min="16" max="16" width="9.7109375" style="0" customWidth="1"/>
    <col min="17" max="17" width="9.8515625" style="0" customWidth="1"/>
    <col min="18" max="18" width="9.85156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341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59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8" ht="12.75">
      <c r="A7" t="s">
        <v>491</v>
      </c>
      <c r="B7" s="4">
        <v>51.11</v>
      </c>
      <c r="C7" s="2">
        <v>21515</v>
      </c>
      <c r="D7" s="2">
        <v>11514</v>
      </c>
      <c r="E7" s="2">
        <v>10068</v>
      </c>
      <c r="F7" s="2">
        <v>10441</v>
      </c>
      <c r="G7" s="2">
        <v>10915</v>
      </c>
      <c r="H7" s="2">
        <v>11767</v>
      </c>
      <c r="I7" s="2">
        <v>11625</v>
      </c>
      <c r="J7" s="2">
        <v>13586</v>
      </c>
      <c r="K7" s="2">
        <v>13874</v>
      </c>
      <c r="L7" s="2">
        <v>7314</v>
      </c>
      <c r="M7" s="2">
        <f>+L7/$L$3*12</f>
        <v>14628</v>
      </c>
      <c r="N7" s="2">
        <v>14227.901999999998</v>
      </c>
      <c r="O7" s="2">
        <v>16075</v>
      </c>
      <c r="P7" s="2">
        <v>16075</v>
      </c>
      <c r="Q7" s="2">
        <v>16075</v>
      </c>
      <c r="R7" s="64">
        <f>(Q7-N7)/N7</f>
        <v>0.12982223239940802</v>
      </c>
    </row>
    <row r="8" spans="1:19" ht="12.75">
      <c r="A8" t="s">
        <v>360</v>
      </c>
      <c r="B8" s="4">
        <v>51.21</v>
      </c>
      <c r="C8" s="2">
        <v>989</v>
      </c>
      <c r="D8" s="2">
        <v>1256</v>
      </c>
      <c r="E8" s="2">
        <v>1588</v>
      </c>
      <c r="F8" s="2">
        <v>1418</v>
      </c>
      <c r="G8" s="2">
        <v>1499</v>
      </c>
      <c r="H8" s="2">
        <v>1570</v>
      </c>
      <c r="I8" s="2">
        <v>1579</v>
      </c>
      <c r="J8" s="2">
        <v>1687</v>
      </c>
      <c r="K8" s="2">
        <v>1995</v>
      </c>
      <c r="L8" s="2">
        <v>1048</v>
      </c>
      <c r="M8" s="2">
        <f aca="true" t="shared" si="0" ref="M8:M22">+L8/$L$3*12</f>
        <v>2096</v>
      </c>
      <c r="N8" s="29">
        <v>2261.7</v>
      </c>
      <c r="O8" s="29">
        <v>2400</v>
      </c>
      <c r="P8" s="29">
        <v>2400</v>
      </c>
      <c r="Q8" s="29">
        <v>2400</v>
      </c>
      <c r="R8" s="64">
        <f>(Q8-N8)/N8</f>
        <v>0.06114869346067126</v>
      </c>
      <c r="S8" t="s">
        <v>605</v>
      </c>
    </row>
    <row r="9" spans="1:18" ht="12.75">
      <c r="A9" t="s">
        <v>30</v>
      </c>
      <c r="B9" s="4">
        <v>51.22</v>
      </c>
      <c r="C9" s="2">
        <v>1645</v>
      </c>
      <c r="D9" s="2">
        <v>880</v>
      </c>
      <c r="E9" s="2">
        <v>770</v>
      </c>
      <c r="F9" s="2">
        <v>799</v>
      </c>
      <c r="G9" s="2">
        <v>835</v>
      </c>
      <c r="H9" s="2">
        <v>900</v>
      </c>
      <c r="I9" s="2">
        <v>889</v>
      </c>
      <c r="J9" s="2">
        <v>1050</v>
      </c>
      <c r="K9" s="2">
        <v>1065</v>
      </c>
      <c r="L9" s="2">
        <v>560</v>
      </c>
      <c r="M9" s="2">
        <f t="shared" si="0"/>
        <v>1120</v>
      </c>
      <c r="N9" s="2">
        <v>1088.434503</v>
      </c>
      <c r="O9" s="2">
        <f>O7*0.0765</f>
        <v>1229.7375</v>
      </c>
      <c r="P9" s="2">
        <f>P7*0.0765</f>
        <v>1229.7375</v>
      </c>
      <c r="Q9" s="2">
        <f>Q7*0.0765</f>
        <v>1229.7375</v>
      </c>
      <c r="R9" s="64">
        <f>(Q9-N9)/N9</f>
        <v>0.12982223239940788</v>
      </c>
    </row>
    <row r="10" spans="1:18" ht="12.75">
      <c r="A10" t="s">
        <v>126</v>
      </c>
      <c r="B10" s="4">
        <v>51.24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4"/>
    </row>
    <row r="11" spans="1:18" ht="12.75">
      <c r="A11" t="s">
        <v>655</v>
      </c>
      <c r="B11" s="4"/>
      <c r="C11" s="2"/>
      <c r="D11" s="2"/>
      <c r="E11" s="2"/>
      <c r="F11" s="2"/>
      <c r="G11" s="2"/>
      <c r="H11" s="2"/>
      <c r="I11" s="2"/>
      <c r="J11" s="2"/>
      <c r="K11" s="2">
        <v>53</v>
      </c>
      <c r="L11" s="2"/>
      <c r="M11" s="2"/>
      <c r="N11" s="2"/>
      <c r="O11" s="2"/>
      <c r="P11" s="2"/>
      <c r="Q11" s="2"/>
      <c r="R11" s="64"/>
    </row>
    <row r="12" spans="1:18" ht="12.75">
      <c r="A12" t="s">
        <v>32</v>
      </c>
      <c r="B12" s="4">
        <v>52.32</v>
      </c>
      <c r="C12" s="2">
        <v>120</v>
      </c>
      <c r="D12" s="2">
        <v>120</v>
      </c>
      <c r="E12" s="2">
        <v>130</v>
      </c>
      <c r="F12" s="2">
        <v>1624</v>
      </c>
      <c r="G12" s="2">
        <v>2375</v>
      </c>
      <c r="H12" s="2">
        <v>1574</v>
      </c>
      <c r="I12" s="2">
        <v>1226</v>
      </c>
      <c r="J12" s="2">
        <v>2429</v>
      </c>
      <c r="K12" s="2">
        <v>2589</v>
      </c>
      <c r="L12" s="2">
        <v>977</v>
      </c>
      <c r="M12" s="2">
        <f t="shared" si="0"/>
        <v>1954</v>
      </c>
      <c r="N12" s="2">
        <v>2500</v>
      </c>
      <c r="O12" s="2">
        <v>2500</v>
      </c>
      <c r="P12" s="2">
        <v>2500</v>
      </c>
      <c r="Q12" s="2">
        <v>2500</v>
      </c>
      <c r="R12" s="64">
        <f>(Q12-N12)/N12</f>
        <v>0</v>
      </c>
    </row>
    <row r="13" spans="1:18" ht="12.75">
      <c r="A13" t="s">
        <v>33</v>
      </c>
      <c r="B13" s="4">
        <v>52.321</v>
      </c>
      <c r="C13" s="2">
        <v>33</v>
      </c>
      <c r="D13" s="2"/>
      <c r="E13" s="2">
        <v>136</v>
      </c>
      <c r="F13" s="2">
        <v>68</v>
      </c>
      <c r="G13" s="2"/>
      <c r="H13" s="2">
        <v>185</v>
      </c>
      <c r="I13" s="2">
        <v>52</v>
      </c>
      <c r="J13" s="2">
        <v>76</v>
      </c>
      <c r="K13" s="2"/>
      <c r="L13" s="2"/>
      <c r="M13" s="2">
        <f t="shared" si="0"/>
        <v>0</v>
      </c>
      <c r="N13" s="2">
        <v>100</v>
      </c>
      <c r="O13" s="2">
        <v>100</v>
      </c>
      <c r="P13" s="2">
        <v>100</v>
      </c>
      <c r="Q13" s="2">
        <v>100</v>
      </c>
      <c r="R13" s="64">
        <f>(Q13-N13)/N13</f>
        <v>0</v>
      </c>
    </row>
    <row r="14" spans="1:18" ht="12.75">
      <c r="A14" t="s">
        <v>45</v>
      </c>
      <c r="B14" s="4">
        <v>52.35</v>
      </c>
      <c r="C14" s="2">
        <v>1077</v>
      </c>
      <c r="D14" s="2">
        <v>1221</v>
      </c>
      <c r="E14" s="2">
        <v>534</v>
      </c>
      <c r="F14" s="2">
        <v>310</v>
      </c>
      <c r="G14" s="2">
        <v>383</v>
      </c>
      <c r="H14" s="2">
        <v>584</v>
      </c>
      <c r="I14" s="2">
        <v>120</v>
      </c>
      <c r="J14" s="2">
        <v>474</v>
      </c>
      <c r="K14" s="2">
        <v>528</v>
      </c>
      <c r="L14" s="2"/>
      <c r="M14" s="2"/>
      <c r="N14" s="2">
        <v>600</v>
      </c>
      <c r="O14" s="2">
        <v>750</v>
      </c>
      <c r="P14" s="2">
        <v>600</v>
      </c>
      <c r="Q14" s="2">
        <v>600</v>
      </c>
      <c r="R14" s="64">
        <f>(Q14-N14)/N14</f>
        <v>0</v>
      </c>
    </row>
    <row r="15" spans="1:18" ht="12.75">
      <c r="A15" t="s">
        <v>35</v>
      </c>
      <c r="B15" s="4">
        <v>52.3602</v>
      </c>
      <c r="C15" s="2"/>
      <c r="D15" s="2">
        <v>40</v>
      </c>
      <c r="E15" s="2">
        <v>40</v>
      </c>
      <c r="F15" s="2">
        <v>25</v>
      </c>
      <c r="G15" s="2"/>
      <c r="H15" s="2">
        <v>25</v>
      </c>
      <c r="I15" s="2"/>
      <c r="J15" s="2"/>
      <c r="K15" s="2"/>
      <c r="L15" s="2"/>
      <c r="M15" s="2"/>
      <c r="N15" s="2">
        <v>100</v>
      </c>
      <c r="O15" s="2">
        <v>100</v>
      </c>
      <c r="P15" s="2">
        <v>100</v>
      </c>
      <c r="Q15" s="2">
        <v>100</v>
      </c>
      <c r="R15" s="64">
        <f>(Q15-N15)/N15</f>
        <v>0</v>
      </c>
    </row>
    <row r="16" spans="1:18" ht="12.75">
      <c r="A16" t="s">
        <v>46</v>
      </c>
      <c r="B16" s="4">
        <v>52.37</v>
      </c>
      <c r="C16" s="2"/>
      <c r="D16" s="2"/>
      <c r="E16" s="2">
        <v>125</v>
      </c>
      <c r="F16" s="2">
        <v>405</v>
      </c>
      <c r="G16" s="2"/>
      <c r="H16" s="2">
        <v>225</v>
      </c>
      <c r="I16" s="2"/>
      <c r="J16" s="2"/>
      <c r="K16" s="2">
        <v>345</v>
      </c>
      <c r="L16" s="2"/>
      <c r="M16" s="2"/>
      <c r="N16" s="2"/>
      <c r="O16" s="2"/>
      <c r="P16" s="2"/>
      <c r="Q16" s="2"/>
      <c r="R16" s="64"/>
    </row>
    <row r="17" spans="1:18" ht="12.75">
      <c r="A17" t="s">
        <v>40</v>
      </c>
      <c r="B17" s="4">
        <v>53.171</v>
      </c>
      <c r="C17" s="2">
        <v>278</v>
      </c>
      <c r="D17" s="2">
        <v>1054</v>
      </c>
      <c r="E17" s="2">
        <v>221</v>
      </c>
      <c r="F17" s="2">
        <v>749</v>
      </c>
      <c r="G17" s="2">
        <v>244</v>
      </c>
      <c r="H17" s="2">
        <v>379</v>
      </c>
      <c r="I17" s="2">
        <v>100</v>
      </c>
      <c r="J17" s="2">
        <v>372</v>
      </c>
      <c r="K17" s="2">
        <v>49</v>
      </c>
      <c r="L17" s="2">
        <v>30</v>
      </c>
      <c r="M17" s="2"/>
      <c r="N17" s="2">
        <v>500</v>
      </c>
      <c r="O17" s="2">
        <v>500</v>
      </c>
      <c r="P17" s="2">
        <v>500</v>
      </c>
      <c r="Q17" s="2">
        <v>500</v>
      </c>
      <c r="R17" s="64">
        <f>(Q17-N17)/N17</f>
        <v>0</v>
      </c>
    </row>
    <row r="18" spans="1:18" ht="12.75">
      <c r="A18" t="s">
        <v>480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  <c r="N18" s="2"/>
      <c r="O18" s="2"/>
      <c r="P18" s="2"/>
      <c r="Q18" s="2"/>
      <c r="R18" s="64"/>
    </row>
    <row r="19" spans="2:18" ht="12.75">
      <c r="B19" s="4"/>
      <c r="C19" s="2"/>
      <c r="D19" s="2"/>
      <c r="E19" s="2"/>
      <c r="F19" s="2"/>
      <c r="G19" s="2"/>
      <c r="H19" s="2">
        <v>45</v>
      </c>
      <c r="I19" s="2"/>
      <c r="J19" s="2"/>
      <c r="K19" s="2"/>
      <c r="L19" s="2"/>
      <c r="M19" s="2"/>
      <c r="N19" s="2"/>
      <c r="O19" s="2"/>
      <c r="P19" s="2"/>
      <c r="Q19" s="2"/>
      <c r="R19" s="49"/>
    </row>
    <row r="20" spans="1:18" ht="12.75">
      <c r="A20" t="s">
        <v>644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3300</v>
      </c>
      <c r="O20" s="2">
        <v>3300</v>
      </c>
      <c r="P20" s="2">
        <v>3300</v>
      </c>
      <c r="Q20" s="2">
        <v>3300</v>
      </c>
      <c r="R20" s="49"/>
    </row>
    <row r="21" spans="1:18" ht="12.75">
      <c r="A21" t="s">
        <v>257</v>
      </c>
      <c r="B21" s="4">
        <v>54.25</v>
      </c>
      <c r="C21" s="2"/>
      <c r="D21" s="2"/>
      <c r="E21" s="2"/>
      <c r="F21" s="2">
        <v>495</v>
      </c>
      <c r="G21" s="2"/>
      <c r="H21" s="2"/>
      <c r="I21" s="2"/>
      <c r="J21" s="2"/>
      <c r="K21" s="2"/>
      <c r="L21" s="2"/>
      <c r="M21" s="2">
        <f t="shared" si="0"/>
        <v>0</v>
      </c>
      <c r="N21" s="2"/>
      <c r="O21" s="2"/>
      <c r="P21" s="2"/>
      <c r="Q21" s="2"/>
      <c r="R21" s="49"/>
    </row>
    <row r="22" spans="1:18" ht="12.75">
      <c r="A22" t="s">
        <v>458</v>
      </c>
      <c r="B22" s="4">
        <v>54.252</v>
      </c>
      <c r="C22" s="2"/>
      <c r="D22" s="2"/>
      <c r="E22" s="2"/>
      <c r="F22" s="2"/>
      <c r="G22" s="2"/>
      <c r="H22" s="2"/>
      <c r="I22" s="2">
        <v>62901</v>
      </c>
      <c r="J22" s="2"/>
      <c r="K22" s="2"/>
      <c r="L22" s="2"/>
      <c r="M22" s="2">
        <f t="shared" si="0"/>
        <v>0</v>
      </c>
      <c r="N22" s="2"/>
      <c r="O22" s="2"/>
      <c r="P22" s="2"/>
      <c r="Q22" s="2"/>
      <c r="R22" s="49"/>
    </row>
    <row r="23" spans="1:18" ht="12.75">
      <c r="A23" t="s">
        <v>538</v>
      </c>
      <c r="B23" s="4">
        <v>54.2525</v>
      </c>
      <c r="C23" s="2"/>
      <c r="D23" s="2"/>
      <c r="E23" s="2"/>
      <c r="F23" s="2"/>
      <c r="G23" s="2"/>
      <c r="H23" s="2"/>
      <c r="I23" s="2"/>
      <c r="J23" s="2">
        <v>6000</v>
      </c>
      <c r="K23" s="2"/>
      <c r="L23" s="2"/>
      <c r="M23" s="2"/>
      <c r="N23" s="2"/>
      <c r="O23" s="2"/>
      <c r="P23" s="2"/>
      <c r="Q23" s="2"/>
      <c r="R23" s="49"/>
    </row>
    <row r="24" spans="1:18" ht="12.75">
      <c r="A24" t="s">
        <v>408</v>
      </c>
      <c r="B24" s="4">
        <v>54.2615</v>
      </c>
      <c r="C24" s="2"/>
      <c r="D24" s="2"/>
      <c r="E24" s="2"/>
      <c r="F24" s="2"/>
      <c r="G24" s="2"/>
      <c r="H24" s="2">
        <v>16498</v>
      </c>
      <c r="I24" s="2"/>
      <c r="J24" s="2"/>
      <c r="K24" s="2"/>
      <c r="L24" s="2"/>
      <c r="M24" s="2"/>
      <c r="N24" s="2"/>
      <c r="O24" s="2"/>
      <c r="P24" s="2"/>
      <c r="Q24" s="2"/>
      <c r="R24" s="49"/>
    </row>
    <row r="25" spans="1:18" ht="12.75">
      <c r="A25" s="6" t="s">
        <v>23</v>
      </c>
      <c r="B25" s="6"/>
      <c r="C25" s="7">
        <f aca="true" t="shared" si="1" ref="C25:I25">SUM(C7:C24)</f>
        <v>25657</v>
      </c>
      <c r="D25" s="8">
        <f t="shared" si="1"/>
        <v>16085</v>
      </c>
      <c r="E25" s="8">
        <f t="shared" si="1"/>
        <v>13612</v>
      </c>
      <c r="F25" s="8">
        <f t="shared" si="1"/>
        <v>16334</v>
      </c>
      <c r="G25" s="8">
        <f t="shared" si="1"/>
        <v>16251</v>
      </c>
      <c r="H25" s="8">
        <f t="shared" si="1"/>
        <v>33752</v>
      </c>
      <c r="I25" s="8">
        <f t="shared" si="1"/>
        <v>78492</v>
      </c>
      <c r="J25" s="8">
        <v>25689</v>
      </c>
      <c r="K25" s="8">
        <f aca="true" t="shared" si="2" ref="K25:Q25">SUM(K7:K24)</f>
        <v>20498</v>
      </c>
      <c r="L25" s="8">
        <f t="shared" si="2"/>
        <v>9929</v>
      </c>
      <c r="M25" s="8">
        <f t="shared" si="2"/>
        <v>19798</v>
      </c>
      <c r="N25" s="8">
        <f t="shared" si="2"/>
        <v>24678.036503</v>
      </c>
      <c r="O25" s="8">
        <f t="shared" si="2"/>
        <v>26954.7375</v>
      </c>
      <c r="P25" s="8">
        <f t="shared" si="2"/>
        <v>26804.7375</v>
      </c>
      <c r="Q25" s="8">
        <f t="shared" si="2"/>
        <v>26804.7375</v>
      </c>
      <c r="R25" s="50">
        <f>(Q25-N25)/N25</f>
        <v>0.08617788521146998</v>
      </c>
    </row>
    <row r="26" ht="12.75">
      <c r="R26" s="49"/>
    </row>
    <row r="27" spans="1:18" ht="12.75">
      <c r="A27" t="s">
        <v>223</v>
      </c>
      <c r="B27">
        <v>0.25</v>
      </c>
      <c r="N27" s="21" t="s">
        <v>357</v>
      </c>
      <c r="O27" s="21"/>
      <c r="P27" s="53">
        <f>O25-P25</f>
        <v>150</v>
      </c>
      <c r="R27" s="49"/>
    </row>
    <row r="28" spans="14:18" ht="12.75">
      <c r="N28" s="21" t="s">
        <v>545</v>
      </c>
      <c r="O28" s="21"/>
      <c r="P28" s="53">
        <f>N25-P25</f>
        <v>-2126.700997</v>
      </c>
      <c r="R28" s="49"/>
    </row>
    <row r="29" spans="14:18" ht="12.75">
      <c r="N29" s="21" t="s">
        <v>307</v>
      </c>
      <c r="O29" s="21"/>
      <c r="P29" s="53">
        <f>P25-Q25</f>
        <v>0</v>
      </c>
      <c r="R29" s="49"/>
    </row>
    <row r="30" ht="12.75">
      <c r="R30" s="49"/>
    </row>
    <row r="31" spans="1:18" ht="12.75">
      <c r="A31" s="31"/>
      <c r="B31" s="17"/>
      <c r="C31" s="17"/>
      <c r="D31" s="17"/>
      <c r="R31" s="49"/>
    </row>
    <row r="32" ht="12.75">
      <c r="R32" s="49"/>
    </row>
    <row r="33" spans="1:18" s="21" customFormat="1" ht="12.75">
      <c r="A33" s="39" t="s">
        <v>26</v>
      </c>
      <c r="B33" s="40">
        <v>33.4215</v>
      </c>
      <c r="C33" s="41">
        <v>1768</v>
      </c>
      <c r="D33" s="41">
        <v>3102</v>
      </c>
      <c r="E33" s="41">
        <v>3100</v>
      </c>
      <c r="F33" s="41"/>
      <c r="G33" s="41"/>
      <c r="H33" s="41"/>
      <c r="I33" s="41">
        <v>6824</v>
      </c>
      <c r="J33" s="41"/>
      <c r="K33" s="41">
        <v>4963</v>
      </c>
      <c r="M33" s="41"/>
      <c r="N33" s="41"/>
      <c r="P33" s="41"/>
      <c r="Q33" s="70"/>
      <c r="R33" s="41"/>
    </row>
    <row r="34" spans="1:18" ht="12.75">
      <c r="A34" t="s">
        <v>769</v>
      </c>
      <c r="R34" s="49"/>
    </row>
    <row r="35" ht="12.75">
      <c r="R35" s="49"/>
    </row>
    <row r="36" spans="1:18" ht="12.75">
      <c r="A36" s="6"/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8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12.75">
      <c r="R73" s="2"/>
    </row>
    <row r="74" ht="12.75">
      <c r="R74" s="2"/>
    </row>
    <row r="75" ht="12.75">
      <c r="R75" s="2"/>
    </row>
    <row r="76" ht="12.75">
      <c r="R76" s="2"/>
    </row>
    <row r="77" ht="12.75">
      <c r="R77" s="2"/>
    </row>
  </sheetData>
  <printOptions gridLines="1"/>
  <pageMargins left="0.25" right="0.25" top="1" bottom="0.55" header="0.5" footer="0.25"/>
  <pageSetup fitToHeight="1" fitToWidth="1" horizontalDpi="300" verticalDpi="300" orientation="landscape" scale="87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T72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4" width="8.7109375" style="0" hidden="1" customWidth="1"/>
    <col min="5" max="5" width="8.00390625" style="0" hidden="1" customWidth="1"/>
    <col min="6" max="6" width="8.7109375" style="0" hidden="1" customWidth="1"/>
    <col min="7" max="8" width="9.421875" style="0" hidden="1" customWidth="1"/>
    <col min="9" max="11" width="9.421875" style="0" customWidth="1"/>
    <col min="12" max="12" width="10.00390625" style="0" customWidth="1"/>
    <col min="14" max="14" width="11.7109375" style="0" customWidth="1"/>
    <col min="16" max="16" width="10.7109375" style="0" bestFit="1" customWidth="1"/>
    <col min="17" max="17" width="8.00390625" style="0" bestFit="1" customWidth="1"/>
    <col min="18" max="18" width="9.8515625" style="0" bestFit="1" customWidth="1"/>
    <col min="19" max="19" width="11.7109375" style="0" customWidth="1"/>
  </cols>
  <sheetData>
    <row r="1" spans="1:2" ht="12.75">
      <c r="A1" t="s">
        <v>13</v>
      </c>
      <c r="B1">
        <v>2007</v>
      </c>
    </row>
    <row r="2" ht="12.75">
      <c r="A2" t="s">
        <v>14</v>
      </c>
    </row>
    <row r="3" spans="1:18" ht="12.75">
      <c r="A3" s="6" t="s">
        <v>342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 t="s">
        <v>17</v>
      </c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343</v>
      </c>
      <c r="N5" s="1" t="s">
        <v>16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37">
        <v>2007</v>
      </c>
      <c r="M6" s="37">
        <v>2007</v>
      </c>
      <c r="N6" s="37">
        <v>2007</v>
      </c>
      <c r="O6" s="37">
        <v>2008</v>
      </c>
      <c r="P6" s="37">
        <v>2008</v>
      </c>
      <c r="Q6" s="37">
        <v>2008</v>
      </c>
      <c r="R6" s="37" t="s">
        <v>584</v>
      </c>
      <c r="S6" s="60" t="s">
        <v>22</v>
      </c>
    </row>
    <row r="7" spans="1:19" ht="12.75">
      <c r="A7" t="s">
        <v>491</v>
      </c>
      <c r="B7" s="4">
        <v>51.11</v>
      </c>
      <c r="C7" s="2">
        <v>57201</v>
      </c>
      <c r="D7" s="2">
        <v>81391</v>
      </c>
      <c r="E7" s="2">
        <v>61702</v>
      </c>
      <c r="F7" s="2">
        <v>100399</v>
      </c>
      <c r="G7" s="2">
        <v>102472</v>
      </c>
      <c r="H7" s="2">
        <v>22268</v>
      </c>
      <c r="I7" s="2">
        <v>18716</v>
      </c>
      <c r="J7" s="2">
        <v>23016</v>
      </c>
      <c r="K7" s="2">
        <v>178</v>
      </c>
      <c r="L7" s="2"/>
      <c r="M7" s="2">
        <f>+L7/$L$3*12</f>
        <v>0</v>
      </c>
      <c r="N7" s="2"/>
      <c r="O7" s="2"/>
      <c r="P7" s="2"/>
      <c r="Q7" s="2"/>
      <c r="R7" s="64" t="e">
        <f>(Q7-N7)/N7</f>
        <v>#DIV/0!</v>
      </c>
      <c r="S7" t="s">
        <v>256</v>
      </c>
    </row>
    <row r="8" spans="1:18" ht="12.75">
      <c r="A8" t="s">
        <v>43</v>
      </c>
      <c r="B8" s="4">
        <v>51.13</v>
      </c>
      <c r="C8" s="2">
        <v>22</v>
      </c>
      <c r="D8" s="2"/>
      <c r="H8">
        <v>224</v>
      </c>
      <c r="I8">
        <v>11</v>
      </c>
      <c r="J8">
        <v>16</v>
      </c>
      <c r="L8" s="2"/>
      <c r="M8" s="2">
        <f>+L8/$L$3*12</f>
        <v>0</v>
      </c>
      <c r="N8" s="2"/>
      <c r="O8" s="2"/>
      <c r="P8" s="2"/>
      <c r="Q8" s="2"/>
      <c r="R8" s="64"/>
    </row>
    <row r="9" spans="1:18" ht="12.75">
      <c r="A9" t="s">
        <v>50</v>
      </c>
      <c r="B9" s="4">
        <v>51.21</v>
      </c>
      <c r="C9" s="2">
        <v>2417</v>
      </c>
      <c r="D9" s="2">
        <v>8014</v>
      </c>
      <c r="E9" s="2">
        <v>6535</v>
      </c>
      <c r="F9" s="2">
        <v>8602</v>
      </c>
      <c r="G9" s="2">
        <v>8701</v>
      </c>
      <c r="H9" s="2">
        <v>2350</v>
      </c>
      <c r="I9" s="2">
        <v>1561</v>
      </c>
      <c r="J9" s="2">
        <v>3398</v>
      </c>
      <c r="K9" s="2"/>
      <c r="L9" s="2"/>
      <c r="M9" s="2">
        <f>+L9/$L$3*12</f>
        <v>0</v>
      </c>
      <c r="N9" s="2"/>
      <c r="O9" s="29"/>
      <c r="P9" s="29"/>
      <c r="Q9" s="34"/>
      <c r="R9" s="64" t="e">
        <f>(Q9-N9)/N9</f>
        <v>#DIV/0!</v>
      </c>
    </row>
    <row r="10" spans="1:18" ht="12.75">
      <c r="A10" t="s">
        <v>30</v>
      </c>
      <c r="B10" s="4">
        <v>51.22</v>
      </c>
      <c r="C10" s="2">
        <v>4315</v>
      </c>
      <c r="D10" s="2">
        <v>6056</v>
      </c>
      <c r="E10" s="2">
        <v>4684</v>
      </c>
      <c r="F10" s="2">
        <v>7665</v>
      </c>
      <c r="G10" s="2">
        <v>7545</v>
      </c>
      <c r="H10" s="2">
        <v>1660</v>
      </c>
      <c r="I10" s="2">
        <v>1425</v>
      </c>
      <c r="J10" s="2">
        <v>1677</v>
      </c>
      <c r="K10" s="2">
        <v>10</v>
      </c>
      <c r="L10" s="2"/>
      <c r="M10" s="2">
        <f>+L10/$L$3*12</f>
        <v>0</v>
      </c>
      <c r="N10" s="2"/>
      <c r="O10" s="2"/>
      <c r="P10" s="2"/>
      <c r="Q10" s="2"/>
      <c r="R10" s="64" t="e">
        <f>(Q10-N10)/N10</f>
        <v>#DIV/0!</v>
      </c>
    </row>
    <row r="11" spans="1:18" ht="12.75">
      <c r="A11" t="s">
        <v>44</v>
      </c>
      <c r="B11" s="4">
        <v>51.24</v>
      </c>
      <c r="C11" s="2">
        <v>136</v>
      </c>
      <c r="D11" s="2">
        <v>301</v>
      </c>
      <c r="E11" s="2">
        <v>427</v>
      </c>
      <c r="F11" s="2">
        <v>359</v>
      </c>
      <c r="G11" s="2">
        <v>427</v>
      </c>
      <c r="H11" s="2"/>
      <c r="I11" s="2"/>
      <c r="J11" s="2">
        <v>77</v>
      </c>
      <c r="K11" s="2"/>
      <c r="L11" s="2"/>
      <c r="M11" s="2">
        <f>+L11/$L$3*12</f>
        <v>0</v>
      </c>
      <c r="N11" s="2"/>
      <c r="O11" s="2"/>
      <c r="P11" s="2"/>
      <c r="Q11" s="2"/>
      <c r="R11" s="64"/>
    </row>
    <row r="12" spans="2:18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4"/>
    </row>
    <row r="13" spans="1:18" ht="12.75">
      <c r="A13" t="s">
        <v>144</v>
      </c>
      <c r="B13" s="4">
        <v>52.1305</v>
      </c>
      <c r="C13" s="2"/>
      <c r="D13" s="2"/>
      <c r="E13" s="2">
        <v>333</v>
      </c>
      <c r="F13" s="2">
        <v>392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64"/>
    </row>
    <row r="14" spans="1:18" ht="12.75">
      <c r="A14" t="s">
        <v>76</v>
      </c>
      <c r="B14" s="4">
        <v>52.2206</v>
      </c>
      <c r="C14" s="2">
        <v>204</v>
      </c>
      <c r="D14" s="2">
        <v>536</v>
      </c>
      <c r="E14" s="2">
        <v>40</v>
      </c>
      <c r="F14" s="2">
        <v>25</v>
      </c>
      <c r="G14" s="2"/>
      <c r="H14" s="2"/>
      <c r="I14" s="2">
        <v>35</v>
      </c>
      <c r="J14" s="2"/>
      <c r="K14" s="2"/>
      <c r="L14" s="2"/>
      <c r="M14" s="2"/>
      <c r="N14" s="2"/>
      <c r="O14" s="2"/>
      <c r="P14" s="2"/>
      <c r="Q14" s="2"/>
      <c r="R14" s="64"/>
    </row>
    <row r="15" spans="1:18" ht="12.75">
      <c r="A15" t="s">
        <v>32</v>
      </c>
      <c r="B15" s="4">
        <v>52.32</v>
      </c>
      <c r="C15" s="2">
        <v>1028</v>
      </c>
      <c r="D15" s="2">
        <v>687</v>
      </c>
      <c r="E15" s="2">
        <v>753</v>
      </c>
      <c r="F15" s="2">
        <v>1075</v>
      </c>
      <c r="G15" s="2">
        <v>1478</v>
      </c>
      <c r="H15" s="2">
        <v>1069</v>
      </c>
      <c r="I15" s="2">
        <v>638</v>
      </c>
      <c r="J15" s="2">
        <v>646</v>
      </c>
      <c r="K15" s="2"/>
      <c r="L15" s="2"/>
      <c r="M15" s="2">
        <f>+L15/$L$3*12</f>
        <v>0</v>
      </c>
      <c r="N15" s="2"/>
      <c r="O15" s="2"/>
      <c r="P15" s="2"/>
      <c r="Q15" s="2"/>
      <c r="R15" s="64" t="e">
        <f>(Q15-N15)/N15</f>
        <v>#DIV/0!</v>
      </c>
    </row>
    <row r="16" spans="1:18" ht="12.75">
      <c r="A16" t="s">
        <v>33</v>
      </c>
      <c r="B16" s="4">
        <v>52.321</v>
      </c>
      <c r="C16" s="2">
        <v>126</v>
      </c>
      <c r="D16" s="2">
        <v>109</v>
      </c>
      <c r="E16" s="2">
        <v>205</v>
      </c>
      <c r="F16" s="2">
        <v>243</v>
      </c>
      <c r="G16" s="2">
        <v>274</v>
      </c>
      <c r="H16" s="2">
        <v>210</v>
      </c>
      <c r="I16" s="2">
        <v>203</v>
      </c>
      <c r="J16" s="2"/>
      <c r="K16" s="2"/>
      <c r="L16" s="2"/>
      <c r="M16" s="2">
        <f>+L16/$L$3*12</f>
        <v>0</v>
      </c>
      <c r="N16" s="2"/>
      <c r="O16" s="2"/>
      <c r="P16" s="2"/>
      <c r="Q16" s="2"/>
      <c r="R16" s="64" t="e">
        <f>(Q16-N16)/N16</f>
        <v>#DIV/0!</v>
      </c>
    </row>
    <row r="17" spans="1:18" ht="12.75">
      <c r="A17" t="s">
        <v>45</v>
      </c>
      <c r="B17" s="4">
        <v>52.35</v>
      </c>
      <c r="C17" s="2">
        <v>777</v>
      </c>
      <c r="D17" s="2">
        <v>1169</v>
      </c>
      <c r="E17" s="2"/>
      <c r="F17" s="2">
        <v>540</v>
      </c>
      <c r="G17" s="2">
        <v>21</v>
      </c>
      <c r="H17" s="2">
        <v>41</v>
      </c>
      <c r="I17" s="2"/>
      <c r="J17" s="2"/>
      <c r="K17" s="2"/>
      <c r="L17" s="2"/>
      <c r="M17" s="2"/>
      <c r="N17" s="2"/>
      <c r="O17" s="2"/>
      <c r="P17" s="2"/>
      <c r="Q17" s="2"/>
      <c r="R17" s="64"/>
    </row>
    <row r="18" spans="1:18" ht="12.75">
      <c r="A18" t="s">
        <v>35</v>
      </c>
      <c r="B18" s="4">
        <v>52.3602</v>
      </c>
      <c r="C18" s="2">
        <v>196</v>
      </c>
      <c r="D18" s="2">
        <v>335</v>
      </c>
      <c r="E18" s="2"/>
      <c r="F18" s="2">
        <v>305</v>
      </c>
      <c r="G18" s="2">
        <v>420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64"/>
    </row>
    <row r="19" spans="1:18" ht="12.75">
      <c r="A19" t="s">
        <v>46</v>
      </c>
      <c r="B19" s="4">
        <v>52.37</v>
      </c>
      <c r="C19" s="2"/>
      <c r="D19" s="2"/>
      <c r="E19" s="2"/>
      <c r="F19" s="2">
        <v>1230</v>
      </c>
      <c r="G19" s="2">
        <v>796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64"/>
    </row>
    <row r="20" spans="2:20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4"/>
      <c r="T20" t="s">
        <v>489</v>
      </c>
    </row>
    <row r="21" spans="1:18" ht="12.75">
      <c r="A21" t="s">
        <v>146</v>
      </c>
      <c r="B21" s="4">
        <v>53.17</v>
      </c>
      <c r="C21" s="2"/>
      <c r="D21" s="2"/>
      <c r="E21" s="2"/>
      <c r="F21" s="2">
        <v>50</v>
      </c>
      <c r="G21" s="2"/>
      <c r="H21" s="2"/>
      <c r="I21" s="2"/>
      <c r="J21" s="2"/>
      <c r="K21" s="2"/>
      <c r="M21" s="2"/>
      <c r="N21" s="2"/>
      <c r="O21" s="2"/>
      <c r="P21" s="2"/>
      <c r="Q21" s="2"/>
      <c r="R21" s="64"/>
    </row>
    <row r="22" spans="1:18" ht="12.75">
      <c r="A22" t="s">
        <v>40</v>
      </c>
      <c r="B22" s="4">
        <v>53.171</v>
      </c>
      <c r="C22" s="2">
        <v>1234</v>
      </c>
      <c r="D22" s="2">
        <v>2877</v>
      </c>
      <c r="E22" s="2">
        <v>2085</v>
      </c>
      <c r="F22" s="2">
        <v>851</v>
      </c>
      <c r="G22" s="2">
        <v>865</v>
      </c>
      <c r="H22" s="2">
        <v>284</v>
      </c>
      <c r="I22" s="2">
        <v>719</v>
      </c>
      <c r="J22" s="2">
        <v>166</v>
      </c>
      <c r="K22" s="2"/>
      <c r="L22" s="2"/>
      <c r="M22" s="2">
        <f>+L22/$L$3*12</f>
        <v>0</v>
      </c>
      <c r="N22" s="2"/>
      <c r="O22" s="2"/>
      <c r="P22" s="2"/>
      <c r="Q22" s="2"/>
      <c r="R22" s="64" t="e">
        <f>(Q22-N22)/N22</f>
        <v>#DIV/0!</v>
      </c>
    </row>
    <row r="23" spans="1:18" ht="12.75">
      <c r="A23" t="s">
        <v>131</v>
      </c>
      <c r="B23" s="4">
        <v>53.174</v>
      </c>
      <c r="C23" s="2">
        <v>120</v>
      </c>
      <c r="D23" s="2">
        <v>323</v>
      </c>
      <c r="E23" s="2"/>
      <c r="F23" s="2">
        <v>484</v>
      </c>
      <c r="G23" s="2">
        <v>651</v>
      </c>
      <c r="H23" s="2"/>
      <c r="I23" s="2"/>
      <c r="J23" s="2"/>
      <c r="K23" s="2"/>
      <c r="M23" s="2"/>
      <c r="N23" s="2"/>
      <c r="O23" s="2"/>
      <c r="P23" s="2"/>
      <c r="Q23" s="2"/>
      <c r="R23" s="64"/>
    </row>
    <row r="24" spans="1:19" ht="12.75">
      <c r="A24" t="s">
        <v>79</v>
      </c>
      <c r="B24" s="4">
        <v>53.175</v>
      </c>
      <c r="C24" s="2">
        <v>530</v>
      </c>
      <c r="D24" s="2">
        <v>518</v>
      </c>
      <c r="E24" s="2"/>
      <c r="F24" s="2">
        <v>931</v>
      </c>
      <c r="G24" s="2">
        <v>597</v>
      </c>
      <c r="H24" s="2">
        <v>46</v>
      </c>
      <c r="I24" s="2"/>
      <c r="J24" s="2"/>
      <c r="K24" s="2"/>
      <c r="L24" s="2"/>
      <c r="M24" s="2"/>
      <c r="N24" s="2"/>
      <c r="O24" s="2"/>
      <c r="P24" s="2"/>
      <c r="Q24" s="2"/>
      <c r="R24" s="64"/>
      <c r="S24" s="10"/>
    </row>
    <row r="25" spans="1:18" ht="12.75">
      <c r="A25" t="s">
        <v>68</v>
      </c>
      <c r="B25" s="4">
        <v>53.176</v>
      </c>
      <c r="C25" s="2">
        <v>33</v>
      </c>
      <c r="D25" s="2">
        <v>82</v>
      </c>
      <c r="E25" s="2"/>
      <c r="F25" s="2">
        <v>77</v>
      </c>
      <c r="G25" s="2">
        <v>75</v>
      </c>
      <c r="H25" s="2">
        <v>9</v>
      </c>
      <c r="I25" s="2"/>
      <c r="J25" s="2"/>
      <c r="K25" s="2"/>
      <c r="L25" s="2"/>
      <c r="M25" s="2"/>
      <c r="N25" s="2"/>
      <c r="O25" s="2"/>
      <c r="P25" s="2"/>
      <c r="Q25" s="2"/>
      <c r="R25" s="64"/>
    </row>
    <row r="26" spans="1:18" ht="12.75">
      <c r="A26" t="s">
        <v>69</v>
      </c>
      <c r="B26" s="4">
        <v>53.177</v>
      </c>
      <c r="C26" s="2"/>
      <c r="D26" s="2">
        <v>506</v>
      </c>
      <c r="E26" s="2"/>
      <c r="F26" s="2">
        <v>607</v>
      </c>
      <c r="G26" s="2">
        <v>372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64"/>
    </row>
    <row r="27" spans="1:18" ht="12.75">
      <c r="A27" t="s">
        <v>82</v>
      </c>
      <c r="B27" s="4">
        <v>53.1778</v>
      </c>
      <c r="C27" s="2"/>
      <c r="D27" s="2"/>
      <c r="E27" s="2"/>
      <c r="F27" s="2">
        <v>46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4"/>
    </row>
    <row r="28" spans="1:18" ht="12.75">
      <c r="A28" t="s">
        <v>70</v>
      </c>
      <c r="B28" s="4">
        <v>53.179</v>
      </c>
      <c r="C28" s="2">
        <v>542</v>
      </c>
      <c r="D28" s="2">
        <v>2255</v>
      </c>
      <c r="E28" s="2">
        <v>1565</v>
      </c>
      <c r="F28" s="2">
        <v>1958</v>
      </c>
      <c r="G28" s="2">
        <v>2137</v>
      </c>
      <c r="H28" s="2">
        <v>51</v>
      </c>
      <c r="I28" s="2"/>
      <c r="J28" s="2">
        <v>196</v>
      </c>
      <c r="K28" s="2"/>
      <c r="L28" s="2"/>
      <c r="M28" s="2">
        <f>+L28/$L$3*12</f>
        <v>0</v>
      </c>
      <c r="N28" s="2"/>
      <c r="O28" s="2"/>
      <c r="P28" s="2"/>
      <c r="Q28" s="2"/>
      <c r="R28" s="64"/>
    </row>
    <row r="29" spans="2:18" ht="12.75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4"/>
    </row>
    <row r="30" spans="1:18" ht="12.75">
      <c r="A30" t="s">
        <v>145</v>
      </c>
      <c r="B30" s="4">
        <v>54.12</v>
      </c>
      <c r="C30" s="2"/>
      <c r="D30" s="2"/>
      <c r="E30" s="2">
        <v>5000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64"/>
    </row>
    <row r="31" spans="1:18" ht="12.75">
      <c r="A31" t="s">
        <v>264</v>
      </c>
      <c r="B31" s="4"/>
      <c r="C31" s="2"/>
      <c r="D31" s="2"/>
      <c r="E31" s="2">
        <v>834</v>
      </c>
      <c r="F31" s="2">
        <v>1996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64"/>
    </row>
    <row r="32" spans="1:18" ht="12.75">
      <c r="A32" t="s">
        <v>147</v>
      </c>
      <c r="B32" s="4">
        <v>54.26</v>
      </c>
      <c r="C32" s="5"/>
      <c r="D32" s="2"/>
      <c r="E32" s="2">
        <v>1105</v>
      </c>
      <c r="F32" s="5"/>
      <c r="G32" s="5"/>
      <c r="H32" s="5"/>
      <c r="I32" s="5"/>
      <c r="J32" s="5"/>
      <c r="K32" s="5"/>
      <c r="L32" s="5"/>
      <c r="M32" s="2"/>
      <c r="N32" s="2"/>
      <c r="O32" s="5"/>
      <c r="P32" s="2"/>
      <c r="Q32" s="2"/>
      <c r="R32" s="64"/>
    </row>
    <row r="33" spans="2:18" ht="12.75">
      <c r="B33" s="4"/>
      <c r="C33" s="5"/>
      <c r="D33" s="2"/>
      <c r="E33" s="2"/>
      <c r="F33" s="5"/>
      <c r="G33" s="5"/>
      <c r="H33" s="5"/>
      <c r="I33" s="5"/>
      <c r="J33" s="5"/>
      <c r="K33" s="5"/>
      <c r="L33" s="5"/>
      <c r="M33" s="2"/>
      <c r="N33" s="2"/>
      <c r="O33" s="5"/>
      <c r="P33" s="2"/>
      <c r="Q33" s="2"/>
      <c r="R33" s="64"/>
    </row>
    <row r="34" spans="1:18" ht="12.75">
      <c r="A34" t="s">
        <v>212</v>
      </c>
      <c r="B34" s="4" t="s">
        <v>24</v>
      </c>
      <c r="C34" s="5">
        <v>3397</v>
      </c>
      <c r="D34" s="2">
        <v>1598</v>
      </c>
      <c r="E34" s="2"/>
      <c r="F34" s="5"/>
      <c r="G34" s="5"/>
      <c r="H34" s="5"/>
      <c r="I34" s="5"/>
      <c r="J34" s="5"/>
      <c r="K34" s="5"/>
      <c r="L34" s="5"/>
      <c r="M34" s="2"/>
      <c r="N34" s="5"/>
      <c r="O34" s="5"/>
      <c r="P34" s="2"/>
      <c r="Q34" s="2"/>
      <c r="R34" s="49"/>
    </row>
    <row r="35" spans="1:18" ht="12.75">
      <c r="A35" t="s">
        <v>215</v>
      </c>
      <c r="B35" s="4" t="s">
        <v>24</v>
      </c>
      <c r="C35" s="5"/>
      <c r="D35" s="2">
        <v>6</v>
      </c>
      <c r="E35" s="2"/>
      <c r="F35" s="5"/>
      <c r="G35" s="5"/>
      <c r="H35" s="5"/>
      <c r="I35" s="5"/>
      <c r="J35" s="5"/>
      <c r="K35" s="5"/>
      <c r="L35" s="5"/>
      <c r="M35" s="2"/>
      <c r="N35" s="5"/>
      <c r="O35" s="5"/>
      <c r="P35" s="2"/>
      <c r="Q35" s="2"/>
      <c r="R35" s="49"/>
    </row>
    <row r="36" spans="2:18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2"/>
      <c r="N36" s="5"/>
      <c r="O36" s="5"/>
      <c r="P36" s="5"/>
      <c r="Q36" s="5"/>
      <c r="R36" s="49"/>
    </row>
    <row r="37" spans="1:18" ht="12.75">
      <c r="A37" s="6" t="s">
        <v>23</v>
      </c>
      <c r="B37" s="6"/>
      <c r="C37" s="7">
        <f>SUM(C7:C36)</f>
        <v>72278</v>
      </c>
      <c r="D37" s="8">
        <f>SUM(D7:D36)</f>
        <v>106763</v>
      </c>
      <c r="E37" s="8">
        <f>SUM(E7:E36)</f>
        <v>85268</v>
      </c>
      <c r="F37" s="8">
        <f aca="true" t="shared" si="0" ref="F37:Q37">SUM(F7:F36)</f>
        <v>127835</v>
      </c>
      <c r="G37" s="8">
        <f t="shared" si="0"/>
        <v>126831</v>
      </c>
      <c r="H37" s="8">
        <f t="shared" si="0"/>
        <v>28212</v>
      </c>
      <c r="I37" s="8">
        <f t="shared" si="0"/>
        <v>23308</v>
      </c>
      <c r="J37" s="8">
        <v>29170</v>
      </c>
      <c r="K37" s="8">
        <f>SUM(K7:K36)</f>
        <v>188</v>
      </c>
      <c r="L37" s="8">
        <f>SUM(L7:L36)</f>
        <v>0</v>
      </c>
      <c r="M37" s="8">
        <f t="shared" si="0"/>
        <v>0</v>
      </c>
      <c r="N37" s="8">
        <f>SUM(N7:N36)</f>
        <v>0</v>
      </c>
      <c r="O37" s="8">
        <f t="shared" si="0"/>
        <v>0</v>
      </c>
      <c r="P37" s="8">
        <f t="shared" si="0"/>
        <v>0</v>
      </c>
      <c r="Q37" s="8">
        <f t="shared" si="0"/>
        <v>0</v>
      </c>
      <c r="R37" s="50" t="e">
        <f>(Q37-N37)/N37</f>
        <v>#DIV/0!</v>
      </c>
    </row>
    <row r="38" ht="12.75">
      <c r="R38" s="49"/>
    </row>
    <row r="39" spans="1:18" ht="12.75">
      <c r="A39" t="s">
        <v>223</v>
      </c>
      <c r="B39">
        <v>1</v>
      </c>
      <c r="N39" s="21" t="s">
        <v>357</v>
      </c>
      <c r="O39" s="21"/>
      <c r="P39" s="53">
        <f>O37-P37</f>
        <v>0</v>
      </c>
      <c r="R39" s="49"/>
    </row>
    <row r="40" spans="14:18" ht="12.75">
      <c r="N40" s="21" t="s">
        <v>545</v>
      </c>
      <c r="O40" s="21"/>
      <c r="P40" s="53">
        <f>N37-P37</f>
        <v>0</v>
      </c>
      <c r="R40" s="49"/>
    </row>
    <row r="41" spans="1:18" ht="12.75">
      <c r="A41" s="6"/>
      <c r="N41" s="21" t="s">
        <v>307</v>
      </c>
      <c r="O41" s="21"/>
      <c r="P41" s="53">
        <f>P37-Q37</f>
        <v>0</v>
      </c>
      <c r="R41" s="49"/>
    </row>
    <row r="42" spans="1:18" ht="12.75">
      <c r="A42" s="6"/>
      <c r="R42" s="49"/>
    </row>
    <row r="43" ht="12.75">
      <c r="R43" s="49"/>
    </row>
    <row r="44" spans="1:18" ht="12.75">
      <c r="A44" s="2" t="s">
        <v>610</v>
      </c>
      <c r="R44" s="49"/>
    </row>
    <row r="45" ht="12.75">
      <c r="A45" s="11"/>
    </row>
    <row r="47" ht="12.75">
      <c r="F47" s="2"/>
    </row>
    <row r="54" ht="12.75">
      <c r="R54" s="2"/>
    </row>
    <row r="55" ht="12.75">
      <c r="R55" s="2"/>
    </row>
    <row r="56" ht="12.75">
      <c r="R56" s="2"/>
    </row>
    <row r="57" ht="12.75">
      <c r="R57" s="2"/>
    </row>
    <row r="58" ht="12.75">
      <c r="R58" s="2"/>
    </row>
    <row r="59" ht="12.75">
      <c r="R59" s="2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printOptions gridLines="1"/>
  <pageMargins left="0.25" right="0.25" top="1" bottom="0.55" header="0.5" footer="0.25"/>
  <pageSetup fitToHeight="1" fitToWidth="1" horizontalDpi="300" verticalDpi="300" orientation="landscape" scale="85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S75"/>
  <sheetViews>
    <sheetView zoomScale="75" zoomScaleNormal="75" workbookViewId="0" topLeftCell="A4">
      <pane ySplit="780" topLeftCell="BM1" activePane="bottomLeft" state="split"/>
      <selection pane="topLeft" activeCell="O160" sqref="O160"/>
      <selection pane="bottomLeft"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9.140625" style="0" hidden="1" customWidth="1"/>
    <col min="4" max="4" width="8.7109375" style="0" hidden="1" customWidth="1"/>
    <col min="5" max="5" width="9.140625" style="0" hidden="1" customWidth="1"/>
    <col min="6" max="8" width="11.7109375" style="0" hidden="1" customWidth="1"/>
    <col min="9" max="12" width="11.7109375" style="0" customWidth="1"/>
    <col min="13" max="13" width="13.421875" style="0" bestFit="1" customWidth="1"/>
    <col min="14" max="14" width="11.7109375" style="0" customWidth="1"/>
    <col min="15" max="15" width="10.421875" style="0" bestFit="1" customWidth="1"/>
    <col min="16" max="17" width="11.71093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344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9" ht="12.75">
      <c r="A7" t="s">
        <v>491</v>
      </c>
      <c r="B7" s="4">
        <v>51.11</v>
      </c>
      <c r="C7" s="2">
        <v>350164</v>
      </c>
      <c r="D7" s="2">
        <v>348444</v>
      </c>
      <c r="E7" s="2">
        <v>356289</v>
      </c>
      <c r="F7" s="2">
        <v>346042</v>
      </c>
      <c r="G7" s="2">
        <v>365672</v>
      </c>
      <c r="H7" s="2">
        <v>415844</v>
      </c>
      <c r="I7" s="2">
        <v>415566</v>
      </c>
      <c r="J7" s="2">
        <v>516402</v>
      </c>
      <c r="K7" s="2">
        <v>548960</v>
      </c>
      <c r="L7" s="2">
        <v>295588</v>
      </c>
      <c r="M7" s="2">
        <f aca="true" t="shared" si="0" ref="M7:M39">+L7/$L$3*12</f>
        <v>591176</v>
      </c>
      <c r="N7" s="2">
        <v>611000</v>
      </c>
      <c r="O7" s="2">
        <v>692687.774775</v>
      </c>
      <c r="P7" s="2">
        <f>640437.251775-510000</f>
        <v>130437.25177500001</v>
      </c>
      <c r="Q7" s="2">
        <f>640437.251775-510000</f>
        <v>130437.25177500001</v>
      </c>
      <c r="R7" s="64">
        <f>(Q7-N7)/N7</f>
        <v>-0.7865184095335516</v>
      </c>
      <c r="S7" s="31" t="s">
        <v>776</v>
      </c>
    </row>
    <row r="8" spans="1:19" ht="12.75">
      <c r="A8" t="s">
        <v>43</v>
      </c>
      <c r="B8" s="4">
        <v>51.13</v>
      </c>
      <c r="C8" s="2">
        <v>3843</v>
      </c>
      <c r="D8" s="2">
        <v>4404</v>
      </c>
      <c r="E8" s="2">
        <v>3361</v>
      </c>
      <c r="F8" s="2">
        <v>2452</v>
      </c>
      <c r="G8" s="2">
        <v>3625</v>
      </c>
      <c r="H8" s="2">
        <v>8127</v>
      </c>
      <c r="I8" s="2">
        <v>8791</v>
      </c>
      <c r="J8" s="2">
        <v>11840</v>
      </c>
      <c r="K8" s="2">
        <v>25101</v>
      </c>
      <c r="L8" s="2">
        <v>10777</v>
      </c>
      <c r="M8" s="2">
        <f t="shared" si="0"/>
        <v>21554</v>
      </c>
      <c r="N8" s="2">
        <v>15000</v>
      </c>
      <c r="O8" s="2">
        <v>15000</v>
      </c>
      <c r="P8" s="2">
        <v>15000</v>
      </c>
      <c r="Q8" s="2">
        <v>15000</v>
      </c>
      <c r="R8" s="64">
        <f>(Q8-N8)/N8</f>
        <v>0</v>
      </c>
      <c r="S8" s="31" t="s">
        <v>375</v>
      </c>
    </row>
    <row r="9" spans="1:19" ht="12.75">
      <c r="A9" t="s">
        <v>360</v>
      </c>
      <c r="B9" s="4">
        <v>51.21</v>
      </c>
      <c r="C9" s="2">
        <v>37030</v>
      </c>
      <c r="D9" s="2">
        <v>42069</v>
      </c>
      <c r="E9" s="2">
        <v>51067</v>
      </c>
      <c r="F9" s="2">
        <v>41515</v>
      </c>
      <c r="G9" s="2">
        <v>39738</v>
      </c>
      <c r="H9" s="2">
        <v>46097</v>
      </c>
      <c r="I9" s="2">
        <v>46938</v>
      </c>
      <c r="J9" s="2">
        <v>58636</v>
      </c>
      <c r="K9" s="2">
        <v>74855</v>
      </c>
      <c r="L9" s="2">
        <v>40638</v>
      </c>
      <c r="M9" s="2">
        <f t="shared" si="0"/>
        <v>81276</v>
      </c>
      <c r="N9" s="29">
        <v>96814</v>
      </c>
      <c r="O9" s="29">
        <v>115200</v>
      </c>
      <c r="P9" s="29">
        <f>24*4800</f>
        <v>115200</v>
      </c>
      <c r="Q9" s="29">
        <f>22*4800</f>
        <v>105600</v>
      </c>
      <c r="R9" s="64">
        <f>(Q9-N9)/N9</f>
        <v>0.09075133761646043</v>
      </c>
      <c r="S9" s="31" t="s">
        <v>754</v>
      </c>
    </row>
    <row r="10" spans="1:19" ht="12.75">
      <c r="A10" t="s">
        <v>30</v>
      </c>
      <c r="B10" s="4">
        <v>51.22</v>
      </c>
      <c r="C10" s="2">
        <v>26747</v>
      </c>
      <c r="D10" s="2">
        <v>26518</v>
      </c>
      <c r="E10" s="2">
        <v>26334</v>
      </c>
      <c r="F10" s="2">
        <v>26476</v>
      </c>
      <c r="G10" s="2">
        <v>26681</v>
      </c>
      <c r="H10" s="2">
        <v>31531</v>
      </c>
      <c r="I10" s="2">
        <v>30912</v>
      </c>
      <c r="J10" s="2">
        <v>38692</v>
      </c>
      <c r="K10" s="2">
        <v>42220</v>
      </c>
      <c r="L10" s="2">
        <v>22541</v>
      </c>
      <c r="M10" s="2">
        <f t="shared" si="0"/>
        <v>45082</v>
      </c>
      <c r="N10" s="2">
        <v>47889</v>
      </c>
      <c r="O10" s="2">
        <v>54138.1147702875</v>
      </c>
      <c r="P10" s="2">
        <f>(P7+P8)*0.0765</f>
        <v>11125.9497607875</v>
      </c>
      <c r="Q10" s="2">
        <f>(Q7+Q8)*0.0765</f>
        <v>11125.9497607875</v>
      </c>
      <c r="R10" s="64">
        <f>(Q10-N10)/N10</f>
        <v>-0.7676721217651756</v>
      </c>
      <c r="S10" s="31" t="s">
        <v>753</v>
      </c>
    </row>
    <row r="11" spans="1:18" ht="12.75">
      <c r="A11" t="s">
        <v>44</v>
      </c>
      <c r="B11" s="4">
        <v>51.24</v>
      </c>
      <c r="C11" s="2">
        <v>6241</v>
      </c>
      <c r="D11" s="2">
        <v>6378</v>
      </c>
      <c r="E11" s="2">
        <v>6944</v>
      </c>
      <c r="F11" s="2">
        <v>5695</v>
      </c>
      <c r="G11" s="2">
        <v>5683</v>
      </c>
      <c r="H11" s="2">
        <v>6855</v>
      </c>
      <c r="I11" s="2">
        <v>7806</v>
      </c>
      <c r="J11" s="2">
        <v>8650</v>
      </c>
      <c r="K11" s="2">
        <v>9702</v>
      </c>
      <c r="L11" s="2">
        <v>5425</v>
      </c>
      <c r="M11" s="2">
        <f t="shared" si="0"/>
        <v>10850</v>
      </c>
      <c r="N11" s="2">
        <v>10200</v>
      </c>
      <c r="O11" s="2">
        <v>14000</v>
      </c>
      <c r="P11" s="2">
        <v>14000</v>
      </c>
      <c r="Q11" s="2">
        <v>14000</v>
      </c>
      <c r="R11" s="64">
        <f>(Q11-N11)/N11</f>
        <v>0.37254901960784315</v>
      </c>
    </row>
    <row r="12" spans="2:18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4"/>
    </row>
    <row r="13" spans="1:19" ht="12.75">
      <c r="A13" t="s">
        <v>97</v>
      </c>
      <c r="B13" s="4">
        <v>52.121</v>
      </c>
      <c r="C13" s="2"/>
      <c r="D13" s="2"/>
      <c r="E13" s="2"/>
      <c r="F13" s="2"/>
      <c r="G13" s="2"/>
      <c r="H13" s="2"/>
      <c r="I13" s="2">
        <f>645+303</f>
        <v>948</v>
      </c>
      <c r="J13" s="2">
        <v>1364</v>
      </c>
      <c r="K13" s="2">
        <v>980</v>
      </c>
      <c r="L13" s="11"/>
      <c r="M13" s="2">
        <v>500</v>
      </c>
      <c r="N13" s="2">
        <v>500</v>
      </c>
      <c r="O13" s="2">
        <v>500</v>
      </c>
      <c r="P13" s="2">
        <v>500</v>
      </c>
      <c r="Q13" s="2">
        <v>500</v>
      </c>
      <c r="R13" s="64"/>
      <c r="S13" s="2"/>
    </row>
    <row r="14" spans="1:18" ht="12.75">
      <c r="A14" s="31" t="s">
        <v>238</v>
      </c>
      <c r="B14" s="4">
        <v>52.1221</v>
      </c>
      <c r="C14" s="2"/>
      <c r="D14" s="2"/>
      <c r="E14" s="2"/>
      <c r="F14" s="2"/>
      <c r="G14" s="2">
        <v>1806</v>
      </c>
      <c r="H14" s="2"/>
      <c r="I14" s="2"/>
      <c r="J14" s="2">
        <v>850</v>
      </c>
      <c r="K14" s="2">
        <v>375</v>
      </c>
      <c r="L14" s="11"/>
      <c r="M14" s="2">
        <v>1500</v>
      </c>
      <c r="N14" s="2">
        <v>1000</v>
      </c>
      <c r="O14" s="2">
        <v>1000</v>
      </c>
      <c r="P14" s="2">
        <v>1000</v>
      </c>
      <c r="Q14" s="2">
        <v>1000</v>
      </c>
      <c r="R14" s="64">
        <f>(Q14-N14)/N14</f>
        <v>0</v>
      </c>
    </row>
    <row r="15" spans="1:19" ht="12.75">
      <c r="A15" t="s">
        <v>149</v>
      </c>
      <c r="B15" s="4">
        <v>52.215</v>
      </c>
      <c r="C15" s="2">
        <v>134875</v>
      </c>
      <c r="D15" s="2">
        <v>151086</v>
      </c>
      <c r="E15" s="2">
        <v>199256</v>
      </c>
      <c r="F15" s="2">
        <v>162000</v>
      </c>
      <c r="G15" s="2">
        <v>71855</v>
      </c>
      <c r="H15" s="2">
        <v>145267</v>
      </c>
      <c r="I15" s="2">
        <f>103139+6632</f>
        <v>109771</v>
      </c>
      <c r="J15" s="2">
        <v>133670</v>
      </c>
      <c r="K15" s="2">
        <v>120261</v>
      </c>
      <c r="L15" s="11">
        <v>38915</v>
      </c>
      <c r="M15" s="2">
        <v>39000</v>
      </c>
      <c r="N15" s="2">
        <v>125000</v>
      </c>
      <c r="O15" s="2"/>
      <c r="P15" s="2"/>
      <c r="Q15" s="2"/>
      <c r="R15" s="64">
        <f>(Q15-N15)/N15</f>
        <v>-1</v>
      </c>
      <c r="S15" t="s">
        <v>256</v>
      </c>
    </row>
    <row r="16" spans="1:18" ht="12.75">
      <c r="A16" t="s">
        <v>76</v>
      </c>
      <c r="B16" s="4">
        <v>52.2206</v>
      </c>
      <c r="C16" s="2">
        <v>7456</v>
      </c>
      <c r="D16" s="2">
        <v>11240</v>
      </c>
      <c r="E16" s="2">
        <v>3400</v>
      </c>
      <c r="F16" s="2">
        <v>5487</v>
      </c>
      <c r="G16" s="2">
        <v>10835</v>
      </c>
      <c r="H16" s="2">
        <v>2828</v>
      </c>
      <c r="I16" s="2">
        <v>3714</v>
      </c>
      <c r="J16" s="2">
        <v>3635</v>
      </c>
      <c r="K16" s="2">
        <v>3975</v>
      </c>
      <c r="L16" s="11">
        <v>2616</v>
      </c>
      <c r="M16" s="2">
        <f t="shared" si="0"/>
        <v>5232</v>
      </c>
      <c r="N16" s="2">
        <v>5000</v>
      </c>
      <c r="O16" s="2">
        <v>5000</v>
      </c>
      <c r="P16" s="2">
        <v>5000</v>
      </c>
      <c r="Q16" s="2">
        <v>5000</v>
      </c>
      <c r="R16" s="64">
        <v>0</v>
      </c>
    </row>
    <row r="17" spans="1:18" ht="12.75">
      <c r="A17" t="s">
        <v>32</v>
      </c>
      <c r="B17" s="4">
        <v>52.32</v>
      </c>
      <c r="C17" s="2">
        <v>703</v>
      </c>
      <c r="D17" s="2">
        <v>772</v>
      </c>
      <c r="E17" s="2">
        <v>786</v>
      </c>
      <c r="F17" s="2">
        <v>1116</v>
      </c>
      <c r="G17" s="2">
        <v>1079</v>
      </c>
      <c r="H17" s="2">
        <v>1102</v>
      </c>
      <c r="I17" s="2">
        <v>1499</v>
      </c>
      <c r="J17" s="2">
        <v>1345</v>
      </c>
      <c r="K17" s="2">
        <v>1338</v>
      </c>
      <c r="L17" s="11">
        <v>698</v>
      </c>
      <c r="M17" s="2">
        <f t="shared" si="0"/>
        <v>1396</v>
      </c>
      <c r="N17" s="2">
        <v>1500</v>
      </c>
      <c r="O17" s="2">
        <v>1500</v>
      </c>
      <c r="P17" s="2">
        <v>1500</v>
      </c>
      <c r="Q17" s="2">
        <v>1500</v>
      </c>
      <c r="R17" s="64">
        <f>(Q17-N17)/N17</f>
        <v>0</v>
      </c>
    </row>
    <row r="18" spans="1:18" ht="12.75">
      <c r="A18" t="s">
        <v>33</v>
      </c>
      <c r="B18" s="4">
        <v>52.321</v>
      </c>
      <c r="C18" s="2"/>
      <c r="D18" s="2"/>
      <c r="E18" s="2">
        <v>100</v>
      </c>
      <c r="F18" s="2"/>
      <c r="G18" s="2">
        <v>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64"/>
    </row>
    <row r="19" spans="1:18" ht="12.75">
      <c r="A19" t="s">
        <v>45</v>
      </c>
      <c r="B19" s="4">
        <v>52.35</v>
      </c>
      <c r="C19" s="2">
        <v>321</v>
      </c>
      <c r="D19" s="2">
        <v>300</v>
      </c>
      <c r="E19" s="2">
        <v>297</v>
      </c>
      <c r="F19" s="2"/>
      <c r="G19" s="2">
        <v>107</v>
      </c>
      <c r="H19" s="2"/>
      <c r="I19" s="2">
        <v>5</v>
      </c>
      <c r="J19" s="2"/>
      <c r="K19" s="2"/>
      <c r="L19" s="2"/>
      <c r="M19" s="2"/>
      <c r="N19" s="2"/>
      <c r="O19" s="2"/>
      <c r="P19" s="2"/>
      <c r="Q19" s="2"/>
      <c r="R19" s="64"/>
    </row>
    <row r="20" spans="1:18" ht="12.75" hidden="1">
      <c r="A20" t="s">
        <v>409</v>
      </c>
      <c r="B20" s="4">
        <v>52.37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4"/>
    </row>
    <row r="21" spans="1:18" ht="12.75">
      <c r="A21" t="s">
        <v>281</v>
      </c>
      <c r="B21" s="4"/>
      <c r="C21" s="2"/>
      <c r="D21" s="2"/>
      <c r="E21" s="2"/>
      <c r="F21" s="2"/>
      <c r="G21" s="2"/>
      <c r="H21" s="2"/>
      <c r="I21" s="2"/>
      <c r="J21" s="2"/>
      <c r="K21" s="2">
        <v>5</v>
      </c>
      <c r="L21" s="2"/>
      <c r="M21" s="2"/>
      <c r="N21" s="2"/>
      <c r="O21" s="2"/>
      <c r="P21" s="2"/>
      <c r="Q21" s="2"/>
      <c r="R21" s="64"/>
    </row>
    <row r="22" spans="2:18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64"/>
    </row>
    <row r="23" spans="1:18" ht="12.75">
      <c r="A23" t="s">
        <v>39</v>
      </c>
      <c r="B23" s="4">
        <v>53.12</v>
      </c>
      <c r="C23" s="2">
        <v>3702</v>
      </c>
      <c r="D23" s="2">
        <v>3067</v>
      </c>
      <c r="E23" s="2">
        <v>3235</v>
      </c>
      <c r="F23" s="2">
        <v>4961</v>
      </c>
      <c r="G23" s="2">
        <v>5953</v>
      </c>
      <c r="H23" s="2">
        <v>6204</v>
      </c>
      <c r="I23" s="2">
        <v>6225</v>
      </c>
      <c r="J23" s="2">
        <v>5204</v>
      </c>
      <c r="K23" s="2">
        <v>6000</v>
      </c>
      <c r="L23" s="2">
        <v>2790</v>
      </c>
      <c r="M23" s="2">
        <f t="shared" si="0"/>
        <v>5580</v>
      </c>
      <c r="N23" s="2">
        <v>5200</v>
      </c>
      <c r="O23" s="2">
        <v>5200</v>
      </c>
      <c r="P23" s="2">
        <v>5200</v>
      </c>
      <c r="Q23" s="2">
        <v>5200</v>
      </c>
      <c r="R23" s="64">
        <f>(Q23-N23)/N23</f>
        <v>0</v>
      </c>
    </row>
    <row r="24" spans="1:18" ht="12.75" hidden="1">
      <c r="A24" t="s">
        <v>146</v>
      </c>
      <c r="B24" s="4">
        <v>53.17</v>
      </c>
      <c r="C24" s="2"/>
      <c r="D24" s="2"/>
      <c r="E24" s="2"/>
      <c r="F24" s="2">
        <v>1179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64"/>
    </row>
    <row r="25" spans="1:18" ht="0.75" customHeight="1" hidden="1">
      <c r="A25" t="s">
        <v>91</v>
      </c>
      <c r="B25" s="4">
        <v>53.1702</v>
      </c>
      <c r="C25" s="2">
        <v>135</v>
      </c>
      <c r="D25" s="2">
        <v>51</v>
      </c>
      <c r="E25" s="2">
        <v>8</v>
      </c>
      <c r="F25" s="2">
        <v>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4"/>
    </row>
    <row r="26" spans="1:19" ht="12.75">
      <c r="A26" t="s">
        <v>150</v>
      </c>
      <c r="B26" s="4">
        <v>53.1703</v>
      </c>
      <c r="C26" s="2">
        <v>2921</v>
      </c>
      <c r="D26" s="2">
        <v>3763</v>
      </c>
      <c r="E26" s="2">
        <v>2949</v>
      </c>
      <c r="F26" s="2">
        <v>3092</v>
      </c>
      <c r="G26" s="2">
        <v>4363</v>
      </c>
      <c r="H26" s="2">
        <v>5170</v>
      </c>
      <c r="I26" s="2">
        <v>1573</v>
      </c>
      <c r="J26" s="2">
        <v>1527</v>
      </c>
      <c r="K26" s="2">
        <v>636</v>
      </c>
      <c r="L26" s="2"/>
      <c r="M26" s="2">
        <f t="shared" si="0"/>
        <v>0</v>
      </c>
      <c r="N26" s="2">
        <v>2000</v>
      </c>
      <c r="O26" s="2">
        <v>1000</v>
      </c>
      <c r="P26" s="2">
        <v>1000</v>
      </c>
      <c r="Q26" s="2">
        <v>1000</v>
      </c>
      <c r="R26" s="64">
        <f>(Q26-N26)/N26</f>
        <v>-0.5</v>
      </c>
      <c r="S26" s="10"/>
    </row>
    <row r="27" spans="1:18" ht="12.75">
      <c r="A27" t="s">
        <v>40</v>
      </c>
      <c r="B27" s="4">
        <v>53.171</v>
      </c>
      <c r="C27" s="2">
        <v>520</v>
      </c>
      <c r="D27" s="2">
        <v>669</v>
      </c>
      <c r="E27" s="2">
        <v>924</v>
      </c>
      <c r="F27" s="2">
        <v>513</v>
      </c>
      <c r="G27" s="2">
        <v>703</v>
      </c>
      <c r="H27" s="2">
        <v>88</v>
      </c>
      <c r="I27" s="2">
        <f>100+394</f>
        <v>494</v>
      </c>
      <c r="J27" s="2">
        <v>552</v>
      </c>
      <c r="K27" s="2">
        <v>67</v>
      </c>
      <c r="L27" s="2">
        <v>2</v>
      </c>
      <c r="M27" s="2">
        <f t="shared" si="0"/>
        <v>4</v>
      </c>
      <c r="N27" s="2">
        <v>500</v>
      </c>
      <c r="O27" s="2">
        <v>500</v>
      </c>
      <c r="P27" s="2">
        <v>500</v>
      </c>
      <c r="Q27" s="2">
        <v>500</v>
      </c>
      <c r="R27" s="64">
        <f>(Q27-N27)/N27</f>
        <v>0</v>
      </c>
    </row>
    <row r="28" spans="1:18" ht="12.75">
      <c r="A28" t="s">
        <v>151</v>
      </c>
      <c r="B28" s="4">
        <v>53.172</v>
      </c>
      <c r="C28" s="2">
        <v>293</v>
      </c>
      <c r="D28" s="2">
        <v>236</v>
      </c>
      <c r="E28" s="2">
        <v>63</v>
      </c>
      <c r="F28" s="2"/>
      <c r="G28" s="2"/>
      <c r="H28" s="2">
        <v>86</v>
      </c>
      <c r="I28" s="2">
        <f>2+209</f>
        <v>211</v>
      </c>
      <c r="J28" s="2"/>
      <c r="K28" s="2"/>
      <c r="L28" s="2"/>
      <c r="M28" s="2"/>
      <c r="N28" s="2"/>
      <c r="O28" s="2"/>
      <c r="P28" s="2"/>
      <c r="Q28" s="2"/>
      <c r="R28" s="64"/>
    </row>
    <row r="29" spans="1:18" ht="12.75">
      <c r="A29" t="s">
        <v>131</v>
      </c>
      <c r="B29" s="4">
        <v>53.174</v>
      </c>
      <c r="C29" s="2">
        <v>5090</v>
      </c>
      <c r="D29" s="2">
        <v>5008</v>
      </c>
      <c r="E29" s="2">
        <v>4466</v>
      </c>
      <c r="F29" s="2">
        <v>4226</v>
      </c>
      <c r="G29" s="2">
        <v>3890</v>
      </c>
      <c r="H29" s="2">
        <v>4618</v>
      </c>
      <c r="I29" s="2">
        <f>4729+91</f>
        <v>4820</v>
      </c>
      <c r="J29" s="2">
        <v>6773</v>
      </c>
      <c r="K29" s="2">
        <f>7384+70</f>
        <v>7454</v>
      </c>
      <c r="L29" s="2">
        <v>3397</v>
      </c>
      <c r="M29" s="2">
        <f t="shared" si="0"/>
        <v>6794</v>
      </c>
      <c r="N29" s="2">
        <v>7000</v>
      </c>
      <c r="O29" s="2">
        <v>7000</v>
      </c>
      <c r="P29" s="2">
        <v>7000</v>
      </c>
      <c r="Q29" s="2">
        <v>7000</v>
      </c>
      <c r="R29" s="64">
        <f>(Q29-N29)/N29</f>
        <v>0</v>
      </c>
    </row>
    <row r="30" spans="1:18" ht="12.75">
      <c r="A30" t="s">
        <v>79</v>
      </c>
      <c r="B30" s="4">
        <v>53.175</v>
      </c>
      <c r="C30" s="2">
        <v>55403</v>
      </c>
      <c r="D30" s="2">
        <v>40563</v>
      </c>
      <c r="E30" s="2">
        <v>54554</v>
      </c>
      <c r="F30" s="2">
        <v>76315</v>
      </c>
      <c r="G30" s="2">
        <v>67426</v>
      </c>
      <c r="H30" s="2">
        <v>58442</v>
      </c>
      <c r="I30" s="2">
        <v>60165</v>
      </c>
      <c r="J30" s="2">
        <v>85308</v>
      </c>
      <c r="K30" s="2">
        <f>102928+503</f>
        <v>103431</v>
      </c>
      <c r="L30" s="2">
        <v>56328</v>
      </c>
      <c r="M30" s="2">
        <f t="shared" si="0"/>
        <v>112656</v>
      </c>
      <c r="N30" s="2">
        <v>90000</v>
      </c>
      <c r="O30" s="2">
        <v>100000</v>
      </c>
      <c r="P30" s="2">
        <v>100000</v>
      </c>
      <c r="Q30" s="2">
        <v>100000</v>
      </c>
      <c r="R30" s="64">
        <f>(Q30-N30)/N30</f>
        <v>0.1111111111111111</v>
      </c>
    </row>
    <row r="31" spans="1:19" ht="12.75">
      <c r="A31" t="s">
        <v>152</v>
      </c>
      <c r="B31" s="4">
        <v>53.1755</v>
      </c>
      <c r="C31" s="2">
        <v>5027</v>
      </c>
      <c r="D31" s="2">
        <v>4881</v>
      </c>
      <c r="E31" s="2"/>
      <c r="F31" s="2">
        <v>1224</v>
      </c>
      <c r="G31" s="2">
        <v>10525</v>
      </c>
      <c r="H31" s="2">
        <v>15374</v>
      </c>
      <c r="I31" s="2">
        <v>3708</v>
      </c>
      <c r="J31" s="2"/>
      <c r="K31" s="2"/>
      <c r="L31" s="2"/>
      <c r="M31" s="2"/>
      <c r="N31" s="2"/>
      <c r="O31" s="2"/>
      <c r="P31" s="2"/>
      <c r="Q31" s="2"/>
      <c r="R31" s="64"/>
      <c r="S31" t="s">
        <v>689</v>
      </c>
    </row>
    <row r="32" spans="1:18" ht="12.75">
      <c r="A32" t="s">
        <v>68</v>
      </c>
      <c r="B32" s="4">
        <v>53.176</v>
      </c>
      <c r="C32" s="2">
        <v>3958</v>
      </c>
      <c r="D32" s="2">
        <v>3425</v>
      </c>
      <c r="E32" s="2">
        <v>3061</v>
      </c>
      <c r="F32" s="2">
        <v>3298</v>
      </c>
      <c r="G32" s="2">
        <v>4399</v>
      </c>
      <c r="H32" s="2">
        <v>4063</v>
      </c>
      <c r="I32" s="2">
        <v>5798</v>
      </c>
      <c r="J32" s="2">
        <v>5993</v>
      </c>
      <c r="K32" s="2">
        <v>6147</v>
      </c>
      <c r="L32" s="2">
        <v>3180</v>
      </c>
      <c r="M32" s="2">
        <f t="shared" si="0"/>
        <v>6360</v>
      </c>
      <c r="N32" s="2">
        <v>6000</v>
      </c>
      <c r="O32" s="2">
        <v>6200</v>
      </c>
      <c r="P32" s="2">
        <v>6200</v>
      </c>
      <c r="Q32" s="2">
        <v>6200</v>
      </c>
      <c r="R32" s="64">
        <f>(Q32-N32)/N32</f>
        <v>0.03333333333333333</v>
      </c>
    </row>
    <row r="33" spans="1:18" ht="12.75">
      <c r="A33" t="s">
        <v>69</v>
      </c>
      <c r="B33" s="4">
        <v>53.177</v>
      </c>
      <c r="C33" s="2">
        <v>10754</v>
      </c>
      <c r="D33" s="2">
        <v>14729</v>
      </c>
      <c r="E33" s="2">
        <v>10095</v>
      </c>
      <c r="F33" s="2">
        <v>18449</v>
      </c>
      <c r="G33" s="2">
        <v>11878</v>
      </c>
      <c r="H33" s="2">
        <v>13014</v>
      </c>
      <c r="I33" s="2">
        <v>13202</v>
      </c>
      <c r="J33" s="2">
        <v>34984</v>
      </c>
      <c r="K33" s="2">
        <v>16647</v>
      </c>
      <c r="L33" s="2">
        <v>14369</v>
      </c>
      <c r="M33" s="2">
        <f t="shared" si="0"/>
        <v>28738</v>
      </c>
      <c r="N33" s="2">
        <v>15000</v>
      </c>
      <c r="O33" s="2">
        <v>20000</v>
      </c>
      <c r="P33" s="2">
        <v>20000</v>
      </c>
      <c r="Q33" s="2">
        <v>20000</v>
      </c>
      <c r="R33" s="64">
        <f>(Q33-N33)/N33</f>
        <v>0.3333333333333333</v>
      </c>
    </row>
    <row r="34" spans="1:18" ht="12.75">
      <c r="A34" t="s">
        <v>82</v>
      </c>
      <c r="B34" s="4">
        <v>53.178</v>
      </c>
      <c r="C34" s="2">
        <v>2791</v>
      </c>
      <c r="D34" s="2">
        <v>2029</v>
      </c>
      <c r="E34" s="2">
        <v>2068</v>
      </c>
      <c r="F34" s="2">
        <v>1588</v>
      </c>
      <c r="G34" s="2">
        <v>2619</v>
      </c>
      <c r="H34" s="2">
        <v>1055</v>
      </c>
      <c r="I34" s="2">
        <v>2156</v>
      </c>
      <c r="J34" s="2">
        <v>1004</v>
      </c>
      <c r="K34" s="2">
        <v>2428</v>
      </c>
      <c r="L34" s="2">
        <v>1597</v>
      </c>
      <c r="M34" s="2">
        <f t="shared" si="0"/>
        <v>3194</v>
      </c>
      <c r="N34" s="2">
        <v>1500</v>
      </c>
      <c r="O34" s="2">
        <v>1500</v>
      </c>
      <c r="P34" s="2">
        <v>1500</v>
      </c>
      <c r="Q34" s="2">
        <v>1500</v>
      </c>
      <c r="R34" s="64">
        <f>(Q34-N34)/N34</f>
        <v>0</v>
      </c>
    </row>
    <row r="35" spans="1:18" ht="12.75">
      <c r="A35" t="s">
        <v>70</v>
      </c>
      <c r="B35" s="4">
        <v>53.179</v>
      </c>
      <c r="C35" s="2">
        <v>3827</v>
      </c>
      <c r="D35" s="2">
        <v>6560</v>
      </c>
      <c r="E35" s="2">
        <v>6528</v>
      </c>
      <c r="F35" s="2">
        <v>4765</v>
      </c>
      <c r="G35" s="2">
        <v>8679</v>
      </c>
      <c r="H35" s="2">
        <v>11008</v>
      </c>
      <c r="I35" s="2">
        <v>13425</v>
      </c>
      <c r="J35" s="2">
        <v>19201</v>
      </c>
      <c r="K35" s="2">
        <v>18052</v>
      </c>
      <c r="L35" s="2">
        <v>11327</v>
      </c>
      <c r="M35" s="2">
        <f t="shared" si="0"/>
        <v>22654</v>
      </c>
      <c r="N35" s="2">
        <v>18000</v>
      </c>
      <c r="O35" s="2">
        <v>23000</v>
      </c>
      <c r="P35" s="2">
        <v>23000</v>
      </c>
      <c r="Q35" s="2">
        <v>23000</v>
      </c>
      <c r="R35" s="64">
        <f>(Q35-N35)/N35</f>
        <v>0.2777777777777778</v>
      </c>
    </row>
    <row r="36" spans="1:19" ht="12.75">
      <c r="A36" t="s">
        <v>133</v>
      </c>
      <c r="B36" s="4">
        <v>53.18</v>
      </c>
      <c r="C36" s="2">
        <v>19524</v>
      </c>
      <c r="D36" s="2">
        <v>32914</v>
      </c>
      <c r="E36" s="2">
        <v>29222</v>
      </c>
      <c r="F36" s="2">
        <v>22406</v>
      </c>
      <c r="G36" s="2">
        <v>30330</v>
      </c>
      <c r="H36" s="2">
        <v>29659</v>
      </c>
      <c r="I36" s="2">
        <v>56080</v>
      </c>
      <c r="J36" s="2">
        <v>98898</v>
      </c>
      <c r="K36" s="2">
        <v>105406</v>
      </c>
      <c r="L36" s="2">
        <v>68620</v>
      </c>
      <c r="M36" s="2">
        <f t="shared" si="0"/>
        <v>137240</v>
      </c>
      <c r="N36" s="2">
        <v>110000</v>
      </c>
      <c r="O36" s="2">
        <v>150000</v>
      </c>
      <c r="P36" s="2">
        <v>150000</v>
      </c>
      <c r="Q36" s="2">
        <v>150000</v>
      </c>
      <c r="R36" s="64">
        <f>(Q36-N36)/N36</f>
        <v>0.36363636363636365</v>
      </c>
      <c r="S36" t="s">
        <v>375</v>
      </c>
    </row>
    <row r="37" spans="2:18" ht="12.75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9"/>
    </row>
    <row r="38" spans="1:18" ht="12.75">
      <c r="A38" t="s">
        <v>145</v>
      </c>
      <c r="B38" s="4">
        <v>54.12</v>
      </c>
      <c r="C38" s="2"/>
      <c r="D38" s="2"/>
      <c r="E38" s="2"/>
      <c r="F38" s="2">
        <v>2618</v>
      </c>
      <c r="G38" s="2"/>
      <c r="H38" s="2"/>
      <c r="I38" s="2"/>
      <c r="J38" s="2"/>
      <c r="K38" s="2"/>
      <c r="L38" s="2"/>
      <c r="M38" s="2">
        <f t="shared" si="0"/>
        <v>0</v>
      </c>
      <c r="N38" s="2"/>
      <c r="O38" s="2"/>
      <c r="P38" s="2"/>
      <c r="Q38" s="2"/>
      <c r="R38" s="49"/>
    </row>
    <row r="39" spans="1:18" ht="12.75">
      <c r="A39" t="s">
        <v>153</v>
      </c>
      <c r="B39" s="4">
        <v>54.21</v>
      </c>
      <c r="C39" s="2"/>
      <c r="D39" s="2">
        <v>2600</v>
      </c>
      <c r="E39" s="2">
        <v>3049</v>
      </c>
      <c r="F39" s="2">
        <v>11519</v>
      </c>
      <c r="G39" s="2"/>
      <c r="H39" s="2"/>
      <c r="I39" s="2"/>
      <c r="J39" s="2"/>
      <c r="K39" s="2"/>
      <c r="L39" s="2"/>
      <c r="M39" s="2">
        <f t="shared" si="0"/>
        <v>0</v>
      </c>
      <c r="N39" s="2"/>
      <c r="O39" s="2"/>
      <c r="P39" s="2"/>
      <c r="Q39" s="2"/>
      <c r="R39" s="49"/>
    </row>
    <row r="40" spans="1:18" ht="12.75">
      <c r="A40" t="s">
        <v>216</v>
      </c>
      <c r="B40" s="4">
        <v>54.22</v>
      </c>
      <c r="C40" s="5">
        <v>20500</v>
      </c>
      <c r="D40" s="5"/>
      <c r="E40" s="5"/>
      <c r="F40" s="2">
        <v>11515</v>
      </c>
      <c r="G40" s="2"/>
      <c r="H40" s="2"/>
      <c r="I40" s="2"/>
      <c r="J40" s="2">
        <v>5304</v>
      </c>
      <c r="K40" s="2"/>
      <c r="L40" s="2">
        <v>1518</v>
      </c>
      <c r="M40" s="2"/>
      <c r="N40" s="2"/>
      <c r="O40" s="2"/>
      <c r="P40" s="2"/>
      <c r="Q40" s="2"/>
      <c r="R40" s="49"/>
    </row>
    <row r="41" spans="1:18" ht="12.75">
      <c r="A41" t="s">
        <v>539</v>
      </c>
      <c r="B41" s="4">
        <v>54.411</v>
      </c>
      <c r="C41" s="5"/>
      <c r="D41" s="5"/>
      <c r="E41" s="5"/>
      <c r="F41" s="2"/>
      <c r="G41" s="2"/>
      <c r="H41" s="2"/>
      <c r="I41" s="2"/>
      <c r="J41" s="2">
        <v>74632</v>
      </c>
      <c r="K41" s="2"/>
      <c r="L41" s="2"/>
      <c r="M41" s="2"/>
      <c r="N41" s="2"/>
      <c r="O41" s="2"/>
      <c r="P41" s="2"/>
      <c r="Q41" s="2"/>
      <c r="R41" s="49"/>
    </row>
    <row r="42" spans="1:18" ht="12.75">
      <c r="A42" t="s">
        <v>217</v>
      </c>
      <c r="B42" s="4">
        <v>54.25</v>
      </c>
      <c r="C42" s="5"/>
      <c r="D42" s="5">
        <v>114</v>
      </c>
      <c r="E42" s="5"/>
      <c r="F42" s="2">
        <v>4610</v>
      </c>
      <c r="G42" s="2"/>
      <c r="H42" s="2">
        <v>750</v>
      </c>
      <c r="I42" s="2"/>
      <c r="J42" s="2"/>
      <c r="K42" s="2"/>
      <c r="L42" s="2"/>
      <c r="M42" s="2"/>
      <c r="N42" s="5"/>
      <c r="O42" s="5"/>
      <c r="P42" s="5"/>
      <c r="Q42" s="5"/>
      <c r="R42" s="49"/>
    </row>
    <row r="43" spans="2:18" ht="12.7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9"/>
    </row>
    <row r="44" spans="1:18" ht="12.75">
      <c r="A44" s="6" t="s">
        <v>23</v>
      </c>
      <c r="B44" s="6"/>
      <c r="C44" s="8">
        <v>710157</v>
      </c>
      <c r="D44" s="8">
        <v>719420</v>
      </c>
      <c r="E44" s="8">
        <v>775535</v>
      </c>
      <c r="F44" s="8">
        <v>763065</v>
      </c>
      <c r="G44" s="8">
        <v>677851</v>
      </c>
      <c r="H44" s="8">
        <v>807182</v>
      </c>
      <c r="I44" s="8">
        <f>SUM(I7:I43)</f>
        <v>793807</v>
      </c>
      <c r="J44" s="8">
        <v>1139844</v>
      </c>
      <c r="K44" s="8">
        <f aca="true" t="shared" si="1" ref="K44:Q44">SUM(K7:K43)</f>
        <v>1094040</v>
      </c>
      <c r="L44" s="8">
        <f t="shared" si="1"/>
        <v>580326</v>
      </c>
      <c r="M44" s="8">
        <f t="shared" si="1"/>
        <v>1120786</v>
      </c>
      <c r="N44" s="8">
        <f t="shared" si="1"/>
        <v>1169103</v>
      </c>
      <c r="O44" s="8">
        <f t="shared" si="1"/>
        <v>1213425.8895452875</v>
      </c>
      <c r="P44" s="8">
        <f t="shared" si="1"/>
        <v>608163.2015357874</v>
      </c>
      <c r="Q44" s="8">
        <f t="shared" si="1"/>
        <v>598563.2015357874</v>
      </c>
      <c r="R44" s="57">
        <f>(Q44-N44)/N44</f>
        <v>-0.4880149982201847</v>
      </c>
    </row>
    <row r="46" spans="14:16" ht="12.75">
      <c r="N46" s="21" t="s">
        <v>357</v>
      </c>
      <c r="O46" s="21"/>
      <c r="P46" s="53">
        <f>O44-P44</f>
        <v>605262.6880095</v>
      </c>
    </row>
    <row r="47" spans="14:16" ht="12.75">
      <c r="N47" s="21" t="s">
        <v>545</v>
      </c>
      <c r="O47" s="21"/>
      <c r="P47" s="53">
        <f>N44-P44</f>
        <v>560939.7984642126</v>
      </c>
    </row>
    <row r="48" spans="1:16" ht="12.75">
      <c r="A48" s="14"/>
      <c r="N48" s="21" t="s">
        <v>307</v>
      </c>
      <c r="O48" s="21"/>
      <c r="P48" s="53">
        <f>P44-Q44</f>
        <v>9600</v>
      </c>
    </row>
    <row r="49" spans="1:17" ht="12.75">
      <c r="A49" s="16"/>
      <c r="O49" s="18"/>
      <c r="P49" s="18"/>
      <c r="Q49" s="18"/>
    </row>
    <row r="50" spans="1:17" ht="12.75">
      <c r="A50" s="36" t="s">
        <v>728</v>
      </c>
      <c r="O50" s="18"/>
      <c r="P50" s="18"/>
      <c r="Q50" s="18"/>
    </row>
    <row r="51" spans="1:17" ht="12.75">
      <c r="A51" s="6" t="s">
        <v>756</v>
      </c>
      <c r="O51" s="18"/>
      <c r="P51" s="18"/>
      <c r="Q51" s="18"/>
    </row>
    <row r="52" spans="1:17" ht="12.75">
      <c r="A52" s="36" t="s">
        <v>648</v>
      </c>
      <c r="O52" s="19"/>
      <c r="P52" s="19"/>
      <c r="Q52" s="19"/>
    </row>
    <row r="53" ht="12.75">
      <c r="A53" t="s">
        <v>755</v>
      </c>
    </row>
    <row r="54" ht="12.75">
      <c r="A54" t="s">
        <v>777</v>
      </c>
    </row>
    <row r="55" ht="12.75">
      <c r="A55" t="s">
        <v>769</v>
      </c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printOptions gridLines="1"/>
  <pageMargins left="0.25" right="0.25" top="1" bottom="0.55" header="0.5" footer="0.25"/>
  <pageSetup fitToHeight="1" fitToWidth="1" horizontalDpi="300" verticalDpi="300" orientation="landscape" scale="76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T71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8" width="11.7109375" style="0" hidden="1" customWidth="1"/>
    <col min="9" max="12" width="11.7109375" style="0" customWidth="1"/>
    <col min="13" max="13" width="13.421875" style="0" bestFit="1" customWidth="1"/>
    <col min="14" max="16" width="11.71093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345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9" ht="12.75">
      <c r="A7" t="s">
        <v>491</v>
      </c>
      <c r="B7" s="4">
        <v>51.11</v>
      </c>
      <c r="C7" s="2">
        <v>145327</v>
      </c>
      <c r="D7" s="2">
        <v>153721</v>
      </c>
      <c r="E7" s="2">
        <v>159374</v>
      </c>
      <c r="F7" s="2">
        <v>185396</v>
      </c>
      <c r="G7" s="2">
        <v>184423</v>
      </c>
      <c r="H7" s="2">
        <v>212777</v>
      </c>
      <c r="I7" s="2">
        <v>214621</v>
      </c>
      <c r="J7" s="2">
        <v>226137</v>
      </c>
      <c r="K7" s="2">
        <v>227177</v>
      </c>
      <c r="L7" s="2">
        <v>123568</v>
      </c>
      <c r="M7" s="2">
        <f>+L7/$L$3*12</f>
        <v>247136</v>
      </c>
      <c r="N7" s="20">
        <v>278275</v>
      </c>
      <c r="O7" s="2">
        <v>286356</v>
      </c>
      <c r="P7" s="20">
        <v>286355.931</v>
      </c>
      <c r="Q7" s="20">
        <v>260942.49099999998</v>
      </c>
      <c r="R7" s="64">
        <f>(Q7-N7)/N7</f>
        <v>-0.06228554128110689</v>
      </c>
      <c r="S7" t="s">
        <v>749</v>
      </c>
    </row>
    <row r="8" spans="1:18" ht="12.75">
      <c r="A8" t="s">
        <v>43</v>
      </c>
      <c r="B8" s="4">
        <v>51.13</v>
      </c>
      <c r="C8" s="2">
        <v>1316</v>
      </c>
      <c r="D8" s="2">
        <v>1473</v>
      </c>
      <c r="E8" s="2">
        <v>465</v>
      </c>
      <c r="F8" s="2">
        <v>850</v>
      </c>
      <c r="G8" s="2">
        <v>857</v>
      </c>
      <c r="H8" s="2">
        <v>1210</v>
      </c>
      <c r="I8" s="2">
        <v>1141</v>
      </c>
      <c r="J8" s="2">
        <v>1659</v>
      </c>
      <c r="K8" s="2">
        <v>1781</v>
      </c>
      <c r="L8" s="2">
        <v>1142</v>
      </c>
      <c r="M8" s="2">
        <f aca="true" t="shared" si="0" ref="M8:M37">+L8/$L$3*12</f>
        <v>2284</v>
      </c>
      <c r="N8" s="20">
        <v>1500</v>
      </c>
      <c r="O8" s="2">
        <v>1500</v>
      </c>
      <c r="P8" s="20">
        <v>1500</v>
      </c>
      <c r="Q8" s="20">
        <v>1500</v>
      </c>
      <c r="R8" s="64">
        <f>(Q8-N8)/N8</f>
        <v>0</v>
      </c>
    </row>
    <row r="9" spans="1:19" ht="12.75">
      <c r="A9" t="s">
        <v>50</v>
      </c>
      <c r="B9" s="4">
        <v>51.21</v>
      </c>
      <c r="C9" s="2">
        <v>12529</v>
      </c>
      <c r="D9" s="2">
        <v>15087</v>
      </c>
      <c r="E9" s="2">
        <v>17849</v>
      </c>
      <c r="F9" s="2">
        <v>17038</v>
      </c>
      <c r="G9" s="2">
        <v>18879</v>
      </c>
      <c r="H9" s="2">
        <v>22143</v>
      </c>
      <c r="I9" s="2">
        <v>22289</v>
      </c>
      <c r="J9" s="2">
        <v>23789</v>
      </c>
      <c r="K9" s="2">
        <v>25060</v>
      </c>
      <c r="L9" s="2">
        <v>15106</v>
      </c>
      <c r="M9" s="2">
        <f t="shared" si="0"/>
        <v>30212</v>
      </c>
      <c r="N9" s="29">
        <v>35326</v>
      </c>
      <c r="O9" s="29">
        <v>38400</v>
      </c>
      <c r="P9" s="29">
        <f>8*4800</f>
        <v>38400</v>
      </c>
      <c r="Q9" s="29">
        <f>7*4800</f>
        <v>33600</v>
      </c>
      <c r="R9" s="64">
        <f>(Q9-N9)/N9</f>
        <v>-0.04885919719187001</v>
      </c>
      <c r="S9" t="s">
        <v>750</v>
      </c>
    </row>
    <row r="10" spans="1:19" ht="12.75">
      <c r="A10" t="s">
        <v>30</v>
      </c>
      <c r="B10" s="4">
        <v>51.22</v>
      </c>
      <c r="C10" s="2">
        <v>10904</v>
      </c>
      <c r="D10" s="2">
        <v>11512</v>
      </c>
      <c r="E10" s="2">
        <v>12151</v>
      </c>
      <c r="F10" s="2">
        <v>14519</v>
      </c>
      <c r="G10" s="2">
        <v>14173</v>
      </c>
      <c r="H10" s="2">
        <v>16369</v>
      </c>
      <c r="I10" s="2">
        <v>16505</v>
      </c>
      <c r="J10" s="2">
        <v>17426</v>
      </c>
      <c r="K10" s="2">
        <v>17474</v>
      </c>
      <c r="L10" s="2">
        <v>9503</v>
      </c>
      <c r="M10" s="2">
        <f t="shared" si="0"/>
        <v>19006</v>
      </c>
      <c r="N10" s="20">
        <f>0.0765*(N8+N7)</f>
        <v>21402.7875</v>
      </c>
      <c r="O10" s="20">
        <v>22021</v>
      </c>
      <c r="P10" s="20">
        <f>(P7+P8)*0.0765</f>
        <v>22020.9787215</v>
      </c>
      <c r="Q10" s="20">
        <f>(Q7+Q8)*0.0765</f>
        <v>20076.8505615</v>
      </c>
      <c r="R10" s="64">
        <f>(Q10-N10)/N10</f>
        <v>-0.061951600393173045</v>
      </c>
      <c r="S10" t="s">
        <v>374</v>
      </c>
    </row>
    <row r="11" spans="1:18" ht="12.75">
      <c r="A11" t="s">
        <v>44</v>
      </c>
      <c r="B11" s="4">
        <v>51.24</v>
      </c>
      <c r="C11" s="2">
        <v>2871</v>
      </c>
      <c r="D11" s="2">
        <v>3057</v>
      </c>
      <c r="E11" s="2">
        <v>4345</v>
      </c>
      <c r="F11" s="2">
        <v>4007</v>
      </c>
      <c r="G11" s="2">
        <v>4511</v>
      </c>
      <c r="H11" s="2">
        <v>5035</v>
      </c>
      <c r="I11" s="2">
        <v>5856</v>
      </c>
      <c r="J11" s="2">
        <v>6313</v>
      </c>
      <c r="K11" s="2">
        <v>5830</v>
      </c>
      <c r="L11" s="2">
        <v>3297</v>
      </c>
      <c r="M11" s="2">
        <f t="shared" si="0"/>
        <v>6594</v>
      </c>
      <c r="N11" s="20">
        <v>6974</v>
      </c>
      <c r="O11" s="20">
        <v>7000</v>
      </c>
      <c r="P11" s="20">
        <v>7000</v>
      </c>
      <c r="Q11" s="20">
        <v>7000</v>
      </c>
      <c r="R11" s="64">
        <f>(Q11-N11)/N11</f>
        <v>0.003728133065672498</v>
      </c>
    </row>
    <row r="12" spans="2:19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0"/>
      <c r="O12" s="2"/>
      <c r="P12" s="20"/>
      <c r="Q12" s="20"/>
      <c r="R12" s="64"/>
      <c r="S12" s="2"/>
    </row>
    <row r="13" spans="1:18" ht="12.75" hidden="1">
      <c r="A13" t="s">
        <v>498</v>
      </c>
      <c r="B13" s="4">
        <v>52.1307</v>
      </c>
      <c r="C13" s="2"/>
      <c r="D13" s="2"/>
      <c r="E13" s="2">
        <v>300</v>
      </c>
      <c r="F13" s="2">
        <v>325</v>
      </c>
      <c r="G13" s="2"/>
      <c r="H13" s="2"/>
      <c r="I13" s="2"/>
      <c r="J13" s="2"/>
      <c r="K13" s="2"/>
      <c r="L13" s="2"/>
      <c r="M13" s="2">
        <f t="shared" si="0"/>
        <v>0</v>
      </c>
      <c r="N13" s="20"/>
      <c r="O13" s="2"/>
      <c r="P13" s="20"/>
      <c r="Q13" s="20"/>
      <c r="R13" s="64"/>
    </row>
    <row r="14" spans="1:18" ht="12.75">
      <c r="A14" t="s">
        <v>270</v>
      </c>
      <c r="B14" s="4">
        <v>52.22</v>
      </c>
      <c r="C14" s="2"/>
      <c r="D14" s="2"/>
      <c r="E14" s="2">
        <v>1812</v>
      </c>
      <c r="F14" s="2"/>
      <c r="G14" s="2"/>
      <c r="H14" s="2"/>
      <c r="I14" s="2">
        <v>450</v>
      </c>
      <c r="J14" s="2">
        <v>419</v>
      </c>
      <c r="K14" s="2">
        <v>215</v>
      </c>
      <c r="L14">
        <v>300</v>
      </c>
      <c r="M14" s="2">
        <f t="shared" si="0"/>
        <v>600</v>
      </c>
      <c r="N14" s="20">
        <v>500</v>
      </c>
      <c r="O14" s="2">
        <v>500</v>
      </c>
      <c r="P14" s="20">
        <v>500</v>
      </c>
      <c r="Q14" s="20">
        <v>500</v>
      </c>
      <c r="R14" s="64"/>
    </row>
    <row r="15" spans="1:18" ht="12.75">
      <c r="A15" t="s">
        <v>155</v>
      </c>
      <c r="B15" s="4">
        <v>52.2206</v>
      </c>
      <c r="C15" s="2">
        <v>480</v>
      </c>
      <c r="D15" s="2">
        <v>412</v>
      </c>
      <c r="E15" s="2">
        <v>160</v>
      </c>
      <c r="F15" s="2">
        <v>791</v>
      </c>
      <c r="G15" s="2">
        <v>434</v>
      </c>
      <c r="H15" s="2">
        <v>444</v>
      </c>
      <c r="I15" s="2">
        <v>585</v>
      </c>
      <c r="J15" s="2">
        <v>536</v>
      </c>
      <c r="K15" s="2">
        <v>193</v>
      </c>
      <c r="L15" s="2">
        <v>85</v>
      </c>
      <c r="M15" s="2">
        <f t="shared" si="0"/>
        <v>170</v>
      </c>
      <c r="N15" s="20">
        <v>800</v>
      </c>
      <c r="O15" s="2">
        <v>800</v>
      </c>
      <c r="P15" s="20">
        <v>800</v>
      </c>
      <c r="Q15" s="20">
        <v>800</v>
      </c>
      <c r="R15" s="64">
        <f>(Q15-N15)/N15</f>
        <v>0</v>
      </c>
    </row>
    <row r="16" spans="1:18" ht="12.75" hidden="1">
      <c r="A16" t="s">
        <v>271</v>
      </c>
      <c r="B16" s="4">
        <v>52.23</v>
      </c>
      <c r="C16" s="2"/>
      <c r="D16" s="2"/>
      <c r="E16" s="2"/>
      <c r="F16" s="2">
        <v>62</v>
      </c>
      <c r="G16" s="2"/>
      <c r="H16" s="2"/>
      <c r="I16" s="2"/>
      <c r="J16" s="2"/>
      <c r="K16" s="2"/>
      <c r="M16" s="2">
        <f t="shared" si="0"/>
        <v>0</v>
      </c>
      <c r="N16" s="20"/>
      <c r="O16" s="2"/>
      <c r="P16" s="20"/>
      <c r="Q16" s="20"/>
      <c r="R16" s="64"/>
    </row>
    <row r="17" spans="1:18" ht="12.75">
      <c r="A17" t="s">
        <v>156</v>
      </c>
      <c r="B17" s="4">
        <v>53.2327</v>
      </c>
      <c r="C17" s="2"/>
      <c r="D17" s="2"/>
      <c r="E17" s="2"/>
      <c r="F17" s="2">
        <v>875</v>
      </c>
      <c r="G17" s="2">
        <v>644</v>
      </c>
      <c r="H17" s="2">
        <v>739</v>
      </c>
      <c r="I17" s="2">
        <v>763</v>
      </c>
      <c r="J17" s="2">
        <v>427</v>
      </c>
      <c r="K17" s="2">
        <v>379</v>
      </c>
      <c r="L17" s="11">
        <v>409</v>
      </c>
      <c r="M17" s="2">
        <f t="shared" si="0"/>
        <v>818</v>
      </c>
      <c r="N17" s="20">
        <v>100</v>
      </c>
      <c r="O17" s="2">
        <v>500</v>
      </c>
      <c r="P17" s="20">
        <v>500</v>
      </c>
      <c r="Q17" s="20">
        <v>500</v>
      </c>
      <c r="R17" s="64">
        <f>(Q17-N17)/N17</f>
        <v>4</v>
      </c>
    </row>
    <row r="18" spans="1:18" ht="12.75">
      <c r="A18" t="s">
        <v>32</v>
      </c>
      <c r="B18" s="4">
        <v>52.32</v>
      </c>
      <c r="C18" s="2">
        <v>1573</v>
      </c>
      <c r="D18" s="2">
        <v>1632</v>
      </c>
      <c r="E18" s="2">
        <v>1922</v>
      </c>
      <c r="F18" s="2">
        <v>2078</v>
      </c>
      <c r="G18" s="2">
        <v>1804</v>
      </c>
      <c r="H18" s="2">
        <v>2582</v>
      </c>
      <c r="I18" s="2">
        <v>2088</v>
      </c>
      <c r="J18" s="2">
        <v>2607</v>
      </c>
      <c r="K18" s="2">
        <v>3001</v>
      </c>
      <c r="L18" s="11">
        <v>1409</v>
      </c>
      <c r="M18" s="2">
        <f t="shared" si="0"/>
        <v>2818</v>
      </c>
      <c r="N18" s="20">
        <v>2600</v>
      </c>
      <c r="O18" s="2">
        <v>2600</v>
      </c>
      <c r="P18" s="20">
        <v>2600</v>
      </c>
      <c r="Q18" s="20">
        <v>2600</v>
      </c>
      <c r="R18" s="64">
        <f>(Q18-N18)/N18</f>
        <v>0</v>
      </c>
    </row>
    <row r="19" spans="1:18" ht="12.75">
      <c r="A19" t="s">
        <v>33</v>
      </c>
      <c r="B19" s="4">
        <v>52.321</v>
      </c>
      <c r="C19" s="2">
        <v>74</v>
      </c>
      <c r="D19" s="2">
        <v>50</v>
      </c>
      <c r="E19" s="2">
        <v>34</v>
      </c>
      <c r="F19" s="2">
        <v>34</v>
      </c>
      <c r="G19" s="2">
        <v>74</v>
      </c>
      <c r="H19" s="2">
        <v>37</v>
      </c>
      <c r="I19" s="2">
        <v>22</v>
      </c>
      <c r="J19" s="2">
        <v>37</v>
      </c>
      <c r="K19" s="2">
        <v>122</v>
      </c>
      <c r="L19" s="11"/>
      <c r="M19" s="2">
        <f t="shared" si="0"/>
        <v>0</v>
      </c>
      <c r="N19" s="20">
        <v>75</v>
      </c>
      <c r="O19" s="2">
        <v>75</v>
      </c>
      <c r="P19" s="20">
        <v>75</v>
      </c>
      <c r="Q19" s="20">
        <v>75</v>
      </c>
      <c r="R19" s="64">
        <f>(Q19-N19)/N19</f>
        <v>0</v>
      </c>
    </row>
    <row r="20" spans="1:20" ht="12.75">
      <c r="A20" t="s">
        <v>45</v>
      </c>
      <c r="B20" s="4">
        <v>52.35</v>
      </c>
      <c r="C20" s="2">
        <v>99</v>
      </c>
      <c r="D20" s="2">
        <v>357</v>
      </c>
      <c r="E20" s="2"/>
      <c r="F20" s="2">
        <v>61</v>
      </c>
      <c r="G20" s="2"/>
      <c r="H20" s="2">
        <v>37</v>
      </c>
      <c r="I20" s="2">
        <f>79+5</f>
        <v>84</v>
      </c>
      <c r="J20" s="2">
        <v>73</v>
      </c>
      <c r="K20" s="2">
        <v>87</v>
      </c>
      <c r="L20" s="11">
        <v>140</v>
      </c>
      <c r="M20" s="2">
        <f t="shared" si="0"/>
        <v>280</v>
      </c>
      <c r="N20" s="20">
        <v>100</v>
      </c>
      <c r="O20" s="2">
        <v>100</v>
      </c>
      <c r="P20" s="20">
        <v>100</v>
      </c>
      <c r="Q20" s="20">
        <v>100</v>
      </c>
      <c r="R20" s="64">
        <f>(Q20-N20)/N20</f>
        <v>0</v>
      </c>
      <c r="T20" t="s">
        <v>489</v>
      </c>
    </row>
    <row r="21" spans="1:18" ht="12.75">
      <c r="A21" t="s">
        <v>36</v>
      </c>
      <c r="B21" s="4">
        <v>52.37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  <c r="N21" s="20"/>
      <c r="O21" s="2"/>
      <c r="P21" s="20"/>
      <c r="Q21" s="20"/>
      <c r="R21" s="64"/>
    </row>
    <row r="22" spans="2:18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0"/>
      <c r="O22" s="2"/>
      <c r="P22" s="20"/>
      <c r="Q22" s="20"/>
      <c r="R22" s="64"/>
    </row>
    <row r="23" spans="1:18" ht="12.75">
      <c r="A23" t="s">
        <v>39</v>
      </c>
      <c r="B23" s="4">
        <v>53.12</v>
      </c>
      <c r="C23" s="2">
        <v>3084</v>
      </c>
      <c r="D23" s="2">
        <v>6868</v>
      </c>
      <c r="E23" s="2">
        <v>6979</v>
      </c>
      <c r="F23" s="2">
        <v>5595</v>
      </c>
      <c r="G23" s="2">
        <v>6692</v>
      </c>
      <c r="H23" s="2">
        <v>6148</v>
      </c>
      <c r="I23" s="2">
        <v>7630</v>
      </c>
      <c r="J23" s="2">
        <v>7419</v>
      </c>
      <c r="K23" s="2">
        <v>7889</v>
      </c>
      <c r="L23" s="11">
        <v>4780</v>
      </c>
      <c r="M23" s="2">
        <f t="shared" si="0"/>
        <v>9560</v>
      </c>
      <c r="N23" s="20">
        <v>9000</v>
      </c>
      <c r="O23" s="2">
        <v>9000</v>
      </c>
      <c r="P23" s="20">
        <v>9000</v>
      </c>
      <c r="Q23" s="20">
        <v>9000</v>
      </c>
      <c r="R23" s="64">
        <f>(Q23-N23)/N23</f>
        <v>0</v>
      </c>
    </row>
    <row r="24" spans="1:18" ht="12.75">
      <c r="A24" t="s">
        <v>157</v>
      </c>
      <c r="B24" s="4">
        <v>53.161</v>
      </c>
      <c r="C24" s="2">
        <v>2390</v>
      </c>
      <c r="D24" s="2">
        <v>2380</v>
      </c>
      <c r="E24" s="2">
        <v>3381</v>
      </c>
      <c r="F24" s="2">
        <v>3446</v>
      </c>
      <c r="G24" s="2">
        <v>3781</v>
      </c>
      <c r="H24" s="2">
        <v>5195</v>
      </c>
      <c r="I24" s="2">
        <v>5508</v>
      </c>
      <c r="J24" s="2">
        <v>6211</v>
      </c>
      <c r="K24" s="2">
        <v>6764</v>
      </c>
      <c r="L24" s="11">
        <v>1747</v>
      </c>
      <c r="M24" s="2">
        <f t="shared" si="0"/>
        <v>3494</v>
      </c>
      <c r="N24" s="20">
        <v>5900</v>
      </c>
      <c r="O24" s="2">
        <v>5900</v>
      </c>
      <c r="P24" s="20">
        <v>5900</v>
      </c>
      <c r="Q24" s="20">
        <v>5900</v>
      </c>
      <c r="R24" s="64">
        <f>(Q24-N24)/N24</f>
        <v>0</v>
      </c>
    </row>
    <row r="25" spans="1:18" ht="12.75" hidden="1">
      <c r="A25" t="s">
        <v>158</v>
      </c>
      <c r="B25" s="4">
        <v>53.17</v>
      </c>
      <c r="C25" s="2"/>
      <c r="D25" s="2"/>
      <c r="E25" s="2"/>
      <c r="F25" s="2">
        <v>150</v>
      </c>
      <c r="G25" s="2"/>
      <c r="H25" s="2"/>
      <c r="I25" s="2"/>
      <c r="J25" s="2"/>
      <c r="K25" s="2"/>
      <c r="L25" s="2"/>
      <c r="M25" s="2">
        <f t="shared" si="0"/>
        <v>0</v>
      </c>
      <c r="N25" s="20"/>
      <c r="O25" s="2"/>
      <c r="P25" s="20"/>
      <c r="Q25" s="20"/>
      <c r="R25" s="64"/>
    </row>
    <row r="26" spans="1:18" ht="12.75">
      <c r="A26" t="s">
        <v>159</v>
      </c>
      <c r="B26" s="4">
        <v>53.1702</v>
      </c>
      <c r="C26" s="2">
        <v>156</v>
      </c>
      <c r="D26" s="2">
        <v>98</v>
      </c>
      <c r="E26" s="2">
        <v>131</v>
      </c>
      <c r="F26" s="2">
        <v>115</v>
      </c>
      <c r="G26" s="2">
        <v>92</v>
      </c>
      <c r="H26" s="2">
        <v>80</v>
      </c>
      <c r="I26" s="2">
        <v>95</v>
      </c>
      <c r="J26" s="2">
        <v>74</v>
      </c>
      <c r="K26" s="2">
        <v>115</v>
      </c>
      <c r="L26" s="11">
        <v>68</v>
      </c>
      <c r="M26" s="2">
        <f t="shared" si="0"/>
        <v>136</v>
      </c>
      <c r="N26" s="20">
        <v>200</v>
      </c>
      <c r="O26" s="2">
        <v>200</v>
      </c>
      <c r="P26" s="20">
        <v>200</v>
      </c>
      <c r="Q26" s="20">
        <v>200</v>
      </c>
      <c r="R26" s="64">
        <f aca="true" t="shared" si="1" ref="R26:R36">(Q26-N26)/N26</f>
        <v>0</v>
      </c>
    </row>
    <row r="27" spans="1:18" ht="12.75">
      <c r="A27" t="s">
        <v>160</v>
      </c>
      <c r="B27" s="4">
        <v>53.1705</v>
      </c>
      <c r="C27" s="2">
        <v>3994</v>
      </c>
      <c r="D27" s="2">
        <v>2981</v>
      </c>
      <c r="E27" s="2">
        <v>10304</v>
      </c>
      <c r="F27" s="2">
        <v>2619</v>
      </c>
      <c r="G27" s="2">
        <v>2657</v>
      </c>
      <c r="H27" s="2">
        <v>2040</v>
      </c>
      <c r="I27" s="2">
        <v>2856</v>
      </c>
      <c r="J27" s="2">
        <v>3394</v>
      </c>
      <c r="K27" s="2">
        <v>2888</v>
      </c>
      <c r="L27" s="11">
        <v>1119</v>
      </c>
      <c r="M27" s="2">
        <f t="shared" si="0"/>
        <v>2238</v>
      </c>
      <c r="N27" s="20">
        <v>2500</v>
      </c>
      <c r="O27" s="2">
        <v>2500</v>
      </c>
      <c r="P27" s="20">
        <v>2500</v>
      </c>
      <c r="Q27" s="20">
        <v>2500</v>
      </c>
      <c r="R27" s="64">
        <f t="shared" si="1"/>
        <v>0</v>
      </c>
    </row>
    <row r="28" spans="1:18" ht="12.75">
      <c r="A28" t="s">
        <v>154</v>
      </c>
      <c r="B28" s="4">
        <v>53.171</v>
      </c>
      <c r="C28" s="2">
        <v>1403</v>
      </c>
      <c r="D28" s="2">
        <v>1753</v>
      </c>
      <c r="E28" s="2">
        <v>1186</v>
      </c>
      <c r="F28" s="2">
        <v>1079</v>
      </c>
      <c r="G28" s="2">
        <v>937</v>
      </c>
      <c r="H28" s="2">
        <v>477</v>
      </c>
      <c r="I28" s="2">
        <v>693</v>
      </c>
      <c r="J28" s="2">
        <v>598</v>
      </c>
      <c r="K28" s="2">
        <v>504</v>
      </c>
      <c r="L28" s="11">
        <v>450</v>
      </c>
      <c r="M28" s="2">
        <f t="shared" si="0"/>
        <v>900</v>
      </c>
      <c r="N28" s="20">
        <v>600</v>
      </c>
      <c r="O28" s="2">
        <v>600</v>
      </c>
      <c r="P28" s="20">
        <v>600</v>
      </c>
      <c r="Q28" s="20">
        <v>600</v>
      </c>
      <c r="R28" s="64">
        <f t="shared" si="1"/>
        <v>0</v>
      </c>
    </row>
    <row r="29" spans="1:18" ht="12.75">
      <c r="A29" t="s">
        <v>161</v>
      </c>
      <c r="B29" s="4">
        <v>53.172</v>
      </c>
      <c r="C29" s="2">
        <v>5947</v>
      </c>
      <c r="D29" s="2">
        <v>2962</v>
      </c>
      <c r="E29" s="2">
        <v>7992</v>
      </c>
      <c r="F29" s="2">
        <v>2109</v>
      </c>
      <c r="G29" s="2">
        <v>588</v>
      </c>
      <c r="H29" s="2">
        <v>1406</v>
      </c>
      <c r="I29" s="2">
        <v>1201</v>
      </c>
      <c r="J29" s="2">
        <v>1049</v>
      </c>
      <c r="K29" s="2">
        <v>2651</v>
      </c>
      <c r="L29" s="11">
        <v>440</v>
      </c>
      <c r="M29" s="2">
        <f t="shared" si="0"/>
        <v>880</v>
      </c>
      <c r="N29" s="20">
        <v>4500</v>
      </c>
      <c r="O29" s="2">
        <v>4500</v>
      </c>
      <c r="P29" s="20">
        <v>2700</v>
      </c>
      <c r="Q29" s="20">
        <v>2700</v>
      </c>
      <c r="R29" s="64">
        <f t="shared" si="1"/>
        <v>-0.4</v>
      </c>
    </row>
    <row r="30" spans="1:18" ht="12.75">
      <c r="A30" t="s">
        <v>704</v>
      </c>
      <c r="B30" s="4">
        <v>53.1737</v>
      </c>
      <c r="C30" s="2"/>
      <c r="D30" s="2"/>
      <c r="E30" s="2"/>
      <c r="F30" s="2"/>
      <c r="G30" s="2"/>
      <c r="H30" s="2"/>
      <c r="I30" s="2"/>
      <c r="J30" s="2"/>
      <c r="K30" s="2"/>
      <c r="L30" s="11">
        <v>167</v>
      </c>
      <c r="M30" s="2">
        <v>167</v>
      </c>
      <c r="N30" s="20"/>
      <c r="O30" s="2"/>
      <c r="P30" s="20"/>
      <c r="Q30" s="20"/>
      <c r="R30" s="64"/>
    </row>
    <row r="31" spans="1:18" ht="12.75">
      <c r="A31" t="s">
        <v>162</v>
      </c>
      <c r="B31" s="4">
        <v>53.174</v>
      </c>
      <c r="C31" s="2">
        <v>1531</v>
      </c>
      <c r="D31" s="2">
        <v>1534</v>
      </c>
      <c r="E31" s="2">
        <v>1379</v>
      </c>
      <c r="F31" s="2">
        <v>1486</v>
      </c>
      <c r="G31" s="2">
        <v>1711</v>
      </c>
      <c r="H31" s="2">
        <v>1927</v>
      </c>
      <c r="I31" s="2">
        <v>1983</v>
      </c>
      <c r="J31" s="2">
        <v>2289</v>
      </c>
      <c r="K31" s="2">
        <v>2140</v>
      </c>
      <c r="L31" s="11">
        <v>1056</v>
      </c>
      <c r="M31" s="2">
        <f t="shared" si="0"/>
        <v>2112</v>
      </c>
      <c r="N31" s="20">
        <v>2000</v>
      </c>
      <c r="O31" s="2">
        <v>2000</v>
      </c>
      <c r="P31" s="20">
        <v>2000</v>
      </c>
      <c r="Q31" s="20">
        <v>2000</v>
      </c>
      <c r="R31" s="64">
        <f t="shared" si="1"/>
        <v>0</v>
      </c>
    </row>
    <row r="32" spans="1:18" ht="12.75">
      <c r="A32" t="s">
        <v>163</v>
      </c>
      <c r="B32" s="4">
        <v>53.175</v>
      </c>
      <c r="C32" s="2">
        <v>1034</v>
      </c>
      <c r="D32" s="2">
        <v>2374</v>
      </c>
      <c r="E32" s="2">
        <v>1433</v>
      </c>
      <c r="F32" s="2">
        <v>793</v>
      </c>
      <c r="G32" s="2">
        <v>882</v>
      </c>
      <c r="H32" s="2">
        <v>1428</v>
      </c>
      <c r="I32" s="2">
        <v>1202</v>
      </c>
      <c r="J32" s="2">
        <v>976</v>
      </c>
      <c r="K32" s="2">
        <v>1789</v>
      </c>
      <c r="L32" s="11">
        <v>597</v>
      </c>
      <c r="M32" s="2">
        <f t="shared" si="0"/>
        <v>1194</v>
      </c>
      <c r="N32" s="20">
        <v>1600</v>
      </c>
      <c r="O32" s="2">
        <v>1600</v>
      </c>
      <c r="P32" s="20">
        <v>1600</v>
      </c>
      <c r="Q32" s="20">
        <v>1600</v>
      </c>
      <c r="R32" s="64">
        <f t="shared" si="1"/>
        <v>0</v>
      </c>
    </row>
    <row r="33" spans="1:18" ht="12.75">
      <c r="A33" t="s">
        <v>164</v>
      </c>
      <c r="B33" s="4">
        <v>53.176</v>
      </c>
      <c r="C33" s="2">
        <v>136</v>
      </c>
      <c r="D33" s="2">
        <v>96</v>
      </c>
      <c r="E33" s="2">
        <v>160</v>
      </c>
      <c r="F33" s="2">
        <v>139</v>
      </c>
      <c r="G33" s="2">
        <v>106</v>
      </c>
      <c r="H33" s="2">
        <v>162</v>
      </c>
      <c r="I33" s="2">
        <v>141</v>
      </c>
      <c r="J33" s="2">
        <v>186</v>
      </c>
      <c r="K33" s="2">
        <v>220</v>
      </c>
      <c r="L33" s="11">
        <v>79</v>
      </c>
      <c r="M33" s="2">
        <f t="shared" si="0"/>
        <v>158</v>
      </c>
      <c r="N33" s="20">
        <v>160</v>
      </c>
      <c r="O33" s="2">
        <v>160</v>
      </c>
      <c r="P33" s="20">
        <v>160</v>
      </c>
      <c r="Q33" s="20">
        <v>160</v>
      </c>
      <c r="R33" s="64">
        <f t="shared" si="1"/>
        <v>0</v>
      </c>
    </row>
    <row r="34" spans="1:18" ht="12.75">
      <c r="A34" t="s">
        <v>165</v>
      </c>
      <c r="B34" s="4">
        <v>53.177</v>
      </c>
      <c r="C34" s="2">
        <v>1</v>
      </c>
      <c r="D34" s="2">
        <v>4</v>
      </c>
      <c r="E34" s="2">
        <v>395</v>
      </c>
      <c r="F34" s="2">
        <v>122</v>
      </c>
      <c r="G34" s="2">
        <v>71</v>
      </c>
      <c r="H34" s="2">
        <v>273</v>
      </c>
      <c r="I34" s="2"/>
      <c r="J34" s="2"/>
      <c r="K34" s="2">
        <v>957</v>
      </c>
      <c r="L34" s="11"/>
      <c r="M34" s="2">
        <f t="shared" si="0"/>
        <v>0</v>
      </c>
      <c r="N34" s="20">
        <v>900</v>
      </c>
      <c r="O34" s="2">
        <v>900</v>
      </c>
      <c r="P34" s="20">
        <v>500</v>
      </c>
      <c r="Q34" s="20">
        <v>500</v>
      </c>
      <c r="R34" s="64">
        <f t="shared" si="1"/>
        <v>-0.4444444444444444</v>
      </c>
    </row>
    <row r="35" spans="1:18" ht="12.75">
      <c r="A35" t="s">
        <v>82</v>
      </c>
      <c r="B35" s="4">
        <v>53.178</v>
      </c>
      <c r="C35" s="2">
        <v>309</v>
      </c>
      <c r="D35" s="2">
        <v>275</v>
      </c>
      <c r="E35" s="2">
        <v>161</v>
      </c>
      <c r="F35" s="2">
        <v>101</v>
      </c>
      <c r="G35" s="2">
        <v>63</v>
      </c>
      <c r="H35" s="2">
        <v>120</v>
      </c>
      <c r="I35" s="2">
        <v>153</v>
      </c>
      <c r="J35" s="2">
        <v>90</v>
      </c>
      <c r="K35" s="2">
        <v>261</v>
      </c>
      <c r="L35" s="11">
        <v>207</v>
      </c>
      <c r="M35" s="2">
        <f t="shared" si="0"/>
        <v>414</v>
      </c>
      <c r="N35" s="20">
        <v>200</v>
      </c>
      <c r="O35" s="2">
        <v>200</v>
      </c>
      <c r="P35" s="20">
        <v>200</v>
      </c>
      <c r="Q35" s="20">
        <v>200</v>
      </c>
      <c r="R35" s="64">
        <f t="shared" si="1"/>
        <v>0</v>
      </c>
    </row>
    <row r="36" spans="1:18" ht="12.75">
      <c r="A36" t="s">
        <v>70</v>
      </c>
      <c r="B36" s="4">
        <v>53.179</v>
      </c>
      <c r="C36" s="2">
        <v>1159</v>
      </c>
      <c r="D36" s="2">
        <v>2017</v>
      </c>
      <c r="E36" s="2">
        <v>2122</v>
      </c>
      <c r="F36" s="2">
        <v>941</v>
      </c>
      <c r="G36" s="2">
        <v>1122</v>
      </c>
      <c r="H36" s="2">
        <v>1213</v>
      </c>
      <c r="I36" s="2">
        <v>2132</v>
      </c>
      <c r="J36" s="2">
        <v>3039</v>
      </c>
      <c r="K36" s="2">
        <v>2938</v>
      </c>
      <c r="L36" s="11">
        <v>1554</v>
      </c>
      <c r="M36" s="2">
        <f t="shared" si="0"/>
        <v>3108</v>
      </c>
      <c r="N36" s="20">
        <v>3000</v>
      </c>
      <c r="O36" s="2">
        <v>3000</v>
      </c>
      <c r="P36" s="20">
        <v>3000</v>
      </c>
      <c r="Q36" s="20">
        <v>3000</v>
      </c>
      <c r="R36" s="64">
        <f t="shared" si="1"/>
        <v>0</v>
      </c>
    </row>
    <row r="37" spans="1:18" ht="12.75">
      <c r="A37" t="s">
        <v>133</v>
      </c>
      <c r="B37" s="4">
        <v>53.18</v>
      </c>
      <c r="C37" s="2">
        <v>4</v>
      </c>
      <c r="D37" s="2"/>
      <c r="E37" s="2"/>
      <c r="F37" s="2"/>
      <c r="G37" s="2"/>
      <c r="H37" s="2"/>
      <c r="I37" s="2">
        <v>341</v>
      </c>
      <c r="J37" s="2">
        <v>323</v>
      </c>
      <c r="K37" s="2">
        <v>511</v>
      </c>
      <c r="L37" s="11">
        <v>898</v>
      </c>
      <c r="M37" s="2">
        <f t="shared" si="0"/>
        <v>1796</v>
      </c>
      <c r="N37" s="20">
        <v>500</v>
      </c>
      <c r="O37" s="2">
        <v>1500</v>
      </c>
      <c r="P37" s="20">
        <v>1500</v>
      </c>
      <c r="Q37" s="20">
        <v>1500</v>
      </c>
      <c r="R37" s="64"/>
    </row>
    <row r="38" spans="2:18" ht="12.7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0"/>
      <c r="O38" s="2"/>
      <c r="P38" s="20"/>
      <c r="Q38" s="20"/>
      <c r="R38" s="64"/>
    </row>
    <row r="39" spans="1:18" ht="12.75">
      <c r="A39" t="s">
        <v>153</v>
      </c>
      <c r="B39" s="4">
        <v>54.21</v>
      </c>
      <c r="C39" s="2"/>
      <c r="D39" s="2"/>
      <c r="E39" s="2"/>
      <c r="F39" s="2">
        <v>9620</v>
      </c>
      <c r="G39" s="2"/>
      <c r="H39" s="2"/>
      <c r="I39" s="2"/>
      <c r="J39" s="2"/>
      <c r="K39" s="2"/>
      <c r="L39" s="2"/>
      <c r="M39" s="2"/>
      <c r="N39" s="20"/>
      <c r="O39" s="2"/>
      <c r="P39" s="20"/>
      <c r="Q39" s="20"/>
      <c r="R39" s="49"/>
    </row>
    <row r="40" spans="1:18" ht="12.75">
      <c r="A40" t="s">
        <v>273</v>
      </c>
      <c r="B40" s="4">
        <v>54.12</v>
      </c>
      <c r="M40" s="2"/>
      <c r="N40" s="35"/>
      <c r="O40" s="18"/>
      <c r="P40" s="35"/>
      <c r="Q40" s="35"/>
      <c r="R40" s="49"/>
    </row>
    <row r="41" spans="1:18" ht="12.75">
      <c r="A41" t="s">
        <v>253</v>
      </c>
      <c r="B41" s="4">
        <v>54.22</v>
      </c>
      <c r="C41" s="2"/>
      <c r="D41" s="2"/>
      <c r="E41" s="2"/>
      <c r="F41" s="2">
        <v>12000</v>
      </c>
      <c r="G41" s="2"/>
      <c r="H41" s="2"/>
      <c r="I41" s="2"/>
      <c r="J41" s="2"/>
      <c r="K41" s="2"/>
      <c r="L41" s="2">
        <v>518</v>
      </c>
      <c r="M41" s="2"/>
      <c r="N41" s="20"/>
      <c r="O41" s="2"/>
      <c r="P41" s="20"/>
      <c r="Q41" s="20"/>
      <c r="R41" s="49"/>
    </row>
    <row r="42" spans="1:18" ht="12.75">
      <c r="A42" t="s">
        <v>272</v>
      </c>
      <c r="B42" s="4">
        <v>54.25</v>
      </c>
      <c r="C42" s="2"/>
      <c r="D42" s="2"/>
      <c r="E42" s="2"/>
      <c r="F42" s="2">
        <v>1455</v>
      </c>
      <c r="G42" s="2">
        <v>1310</v>
      </c>
      <c r="H42" s="2"/>
      <c r="I42" s="2"/>
      <c r="J42" s="2"/>
      <c r="K42" s="2"/>
      <c r="L42" s="2"/>
      <c r="M42" s="2"/>
      <c r="N42" s="20"/>
      <c r="O42" s="2"/>
      <c r="P42" s="20"/>
      <c r="Q42" s="20"/>
      <c r="R42" s="49"/>
    </row>
    <row r="43" spans="1:18" ht="12.75">
      <c r="A43" t="s">
        <v>246</v>
      </c>
      <c r="B43" s="4">
        <v>54.24</v>
      </c>
      <c r="C43" s="2"/>
      <c r="D43" s="2"/>
      <c r="E43" s="2"/>
      <c r="F43" s="2">
        <v>954</v>
      </c>
      <c r="G43" s="2"/>
      <c r="H43" s="2"/>
      <c r="I43" s="2"/>
      <c r="J43" s="2"/>
      <c r="K43" s="2"/>
      <c r="L43" s="2"/>
      <c r="M43" s="2"/>
      <c r="O43" s="2"/>
      <c r="P43" s="20"/>
      <c r="R43" s="49"/>
    </row>
    <row r="44" spans="2:18" ht="12.75"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0"/>
      <c r="Q44" s="20"/>
      <c r="R44" s="49"/>
    </row>
    <row r="45" spans="2:18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0"/>
      <c r="Q45" s="20"/>
      <c r="R45" s="49"/>
    </row>
    <row r="46" spans="1:18" ht="12.75">
      <c r="A46" s="6" t="s">
        <v>23</v>
      </c>
      <c r="B46" s="6"/>
      <c r="C46" s="8">
        <f>SUM(C7:C39)</f>
        <v>196321</v>
      </c>
      <c r="D46" s="8">
        <f>SUM(D7:D39)</f>
        <v>210643</v>
      </c>
      <c r="E46" s="8">
        <f>SUM(E7:E45)</f>
        <v>234035</v>
      </c>
      <c r="F46" s="8">
        <f>SUM(F7:F45)</f>
        <v>268760</v>
      </c>
      <c r="G46" s="8">
        <f>SUM(G7:G45)</f>
        <v>245811</v>
      </c>
      <c r="H46" s="8">
        <f>SUM(H7:H45)</f>
        <v>281842</v>
      </c>
      <c r="I46" s="8">
        <f>SUM(I7:I45)</f>
        <v>288339</v>
      </c>
      <c r="J46" s="8">
        <v>310406</v>
      </c>
      <c r="K46" s="8">
        <f aca="true" t="shared" si="2" ref="K46:Q46">SUM(K7:K45)</f>
        <v>310946</v>
      </c>
      <c r="L46" s="8">
        <f t="shared" si="2"/>
        <v>168639</v>
      </c>
      <c r="M46" s="8">
        <f t="shared" si="2"/>
        <v>336075</v>
      </c>
      <c r="N46" s="8">
        <f t="shared" si="2"/>
        <v>378712.7875</v>
      </c>
      <c r="O46" s="8">
        <f t="shared" si="2"/>
        <v>391912</v>
      </c>
      <c r="P46" s="8">
        <f t="shared" si="2"/>
        <v>389711.9097215</v>
      </c>
      <c r="Q46" s="8">
        <f t="shared" si="2"/>
        <v>357554.3415615</v>
      </c>
      <c r="R46" s="49">
        <f>(Q46-N46)/N46</f>
        <v>-0.05586937287798869</v>
      </c>
    </row>
    <row r="47" spans="3:17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1" t="s">
        <v>357</v>
      </c>
      <c r="O48" s="21"/>
      <c r="P48" s="53">
        <f>O46-P46</f>
        <v>2200.0902784999926</v>
      </c>
      <c r="Q48" s="2"/>
    </row>
    <row r="49" spans="14:16" ht="12.75">
      <c r="N49" s="21" t="s">
        <v>545</v>
      </c>
      <c r="O49" s="21"/>
      <c r="P49" s="53">
        <f>N46-P46</f>
        <v>-10999.12222150003</v>
      </c>
    </row>
    <row r="50" spans="14:16" ht="12.75">
      <c r="N50" s="21" t="s">
        <v>307</v>
      </c>
      <c r="O50" s="21"/>
      <c r="P50" s="53">
        <f>P46-Q46</f>
        <v>32157.568160000024</v>
      </c>
    </row>
    <row r="51" spans="1:16" ht="12.75">
      <c r="A51" t="s">
        <v>690</v>
      </c>
      <c r="N51" s="21"/>
      <c r="O51" s="21"/>
      <c r="P51" s="53"/>
    </row>
    <row r="52" ht="12.75">
      <c r="A52" s="6" t="s">
        <v>752</v>
      </c>
    </row>
    <row r="53" ht="12.75">
      <c r="A53" t="s">
        <v>751</v>
      </c>
    </row>
    <row r="55" ht="12.75">
      <c r="A55" t="s">
        <v>769</v>
      </c>
    </row>
    <row r="66" ht="12.75">
      <c r="R66" s="2"/>
    </row>
    <row r="67" ht="12.75">
      <c r="R67" s="2"/>
    </row>
    <row r="68" ht="12.75">
      <c r="R68" s="2"/>
    </row>
    <row r="69" ht="12.75">
      <c r="R69" s="2"/>
    </row>
    <row r="70" ht="12.75">
      <c r="R70" s="2"/>
    </row>
    <row r="71" ht="12.75">
      <c r="R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T74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7" width="0.13671875" style="0" hidden="1" customWidth="1"/>
    <col min="8" max="8" width="11.7109375" style="0" hidden="1" customWidth="1"/>
    <col min="9" max="12" width="11.7109375" style="0" customWidth="1"/>
    <col min="14" max="14" width="9.28125" style="0" customWidth="1"/>
    <col min="16" max="16" width="10.7109375" style="0" bestFit="1" customWidth="1"/>
    <col min="18" max="18" width="11.1406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346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8" ht="12.75">
      <c r="A7" t="s">
        <v>510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9"/>
    </row>
    <row r="8" spans="1:18" ht="11.25" customHeight="1">
      <c r="A8" s="15" t="s">
        <v>167</v>
      </c>
      <c r="B8" s="4">
        <v>52.22</v>
      </c>
      <c r="C8" s="2">
        <v>5520</v>
      </c>
      <c r="D8" s="2">
        <v>2250</v>
      </c>
      <c r="E8" s="2"/>
      <c r="F8" s="2"/>
      <c r="G8" s="2"/>
      <c r="H8" s="2"/>
      <c r="I8" s="2">
        <v>227</v>
      </c>
      <c r="J8" s="2"/>
      <c r="K8" s="2"/>
      <c r="L8" s="2"/>
      <c r="M8" s="2"/>
      <c r="N8" s="2"/>
      <c r="O8" s="2"/>
      <c r="P8" s="2"/>
      <c r="Q8" s="2"/>
      <c r="R8" s="49"/>
    </row>
    <row r="9" spans="1:18" ht="12.75" hidden="1">
      <c r="A9" s="15" t="s">
        <v>284</v>
      </c>
      <c r="B9" s="4"/>
      <c r="C9" s="2"/>
      <c r="D9" s="2"/>
      <c r="E9" s="2"/>
      <c r="F9" s="2">
        <v>529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9"/>
    </row>
    <row r="10" spans="1:18" ht="0.75" customHeight="1" hidden="1">
      <c r="A10" s="15" t="s">
        <v>183</v>
      </c>
      <c r="B10" s="4">
        <v>52.2205</v>
      </c>
      <c r="C10" s="2"/>
      <c r="D10" s="2"/>
      <c r="E10" s="2">
        <v>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9"/>
    </row>
    <row r="11" spans="1:18" ht="12.75" hidden="1">
      <c r="A11" s="15" t="s">
        <v>155</v>
      </c>
      <c r="B11" s="4">
        <v>52.2206</v>
      </c>
      <c r="C11" s="2"/>
      <c r="D11" s="2"/>
      <c r="E11" s="2">
        <v>48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9"/>
    </row>
    <row r="12" spans="1:18" ht="12.75">
      <c r="A12" s="15"/>
      <c r="B12" s="4"/>
      <c r="C12" s="2"/>
      <c r="D12" s="2"/>
      <c r="E12" s="2"/>
      <c r="F12" s="2"/>
      <c r="G12" s="2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49"/>
    </row>
    <row r="13" spans="1:18" ht="12.75">
      <c r="A13" s="15" t="s">
        <v>622</v>
      </c>
      <c r="B13" s="4"/>
      <c r="C13" s="2"/>
      <c r="D13" s="2"/>
      <c r="E13" s="2"/>
      <c r="F13" s="2"/>
      <c r="G13" s="2"/>
      <c r="H13" s="2"/>
      <c r="I13" s="2"/>
      <c r="J13" s="2"/>
      <c r="K13" s="2">
        <v>6216</v>
      </c>
      <c r="L13" s="2">
        <v>2261</v>
      </c>
      <c r="M13" s="2">
        <v>2500</v>
      </c>
      <c r="N13" s="2"/>
      <c r="O13" s="2">
        <v>1500</v>
      </c>
      <c r="P13" s="2">
        <v>1500</v>
      </c>
      <c r="Q13" s="2">
        <v>1500</v>
      </c>
      <c r="R13" s="49"/>
    </row>
    <row r="14" spans="1:18" ht="12.75">
      <c r="A14" s="15" t="s">
        <v>168</v>
      </c>
      <c r="B14" s="4">
        <v>53.172</v>
      </c>
      <c r="C14" s="2"/>
      <c r="D14" s="2">
        <v>13</v>
      </c>
      <c r="E14" s="2">
        <v>315</v>
      </c>
      <c r="F14" s="2"/>
      <c r="G14" s="2"/>
      <c r="H14" s="2"/>
      <c r="I14" s="2"/>
      <c r="J14" s="2"/>
      <c r="K14" s="2"/>
      <c r="L14" s="2"/>
      <c r="M14" s="2">
        <f aca="true" t="shared" si="0" ref="M14:M19">+L14/$L$3*12</f>
        <v>0</v>
      </c>
      <c r="N14" s="2"/>
      <c r="O14" s="2"/>
      <c r="P14" s="2"/>
      <c r="Q14" s="2"/>
      <c r="R14" s="64"/>
    </row>
    <row r="15" spans="1:18" ht="12.75">
      <c r="A15" s="15" t="s">
        <v>169</v>
      </c>
      <c r="B15" s="4">
        <v>53.175</v>
      </c>
      <c r="C15" s="2">
        <v>336</v>
      </c>
      <c r="D15" s="2">
        <v>149</v>
      </c>
      <c r="E15" s="2">
        <v>44</v>
      </c>
      <c r="F15" s="2">
        <v>154</v>
      </c>
      <c r="G15" s="2">
        <v>27</v>
      </c>
      <c r="H15" s="2">
        <v>114</v>
      </c>
      <c r="I15" s="2">
        <v>225</v>
      </c>
      <c r="J15" s="2">
        <v>95</v>
      </c>
      <c r="K15" s="2">
        <v>96</v>
      </c>
      <c r="L15" s="11">
        <v>29</v>
      </c>
      <c r="M15" s="2">
        <f t="shared" si="0"/>
        <v>58</v>
      </c>
      <c r="N15" s="2">
        <v>150</v>
      </c>
      <c r="O15" s="2">
        <v>150</v>
      </c>
      <c r="P15" s="2">
        <v>150</v>
      </c>
      <c r="Q15" s="2">
        <v>150</v>
      </c>
      <c r="R15" s="64"/>
    </row>
    <row r="16" spans="1:18" ht="12.75">
      <c r="A16" s="15" t="s">
        <v>164</v>
      </c>
      <c r="B16" s="4">
        <v>53.176</v>
      </c>
      <c r="C16" s="2">
        <v>41</v>
      </c>
      <c r="D16" s="2">
        <v>45</v>
      </c>
      <c r="E16" s="2">
        <v>575</v>
      </c>
      <c r="F16" s="2">
        <v>32</v>
      </c>
      <c r="G16" s="2">
        <v>17</v>
      </c>
      <c r="H16" s="2">
        <v>46</v>
      </c>
      <c r="I16" s="2">
        <v>37</v>
      </c>
      <c r="J16" s="2">
        <v>38</v>
      </c>
      <c r="K16" s="2">
        <v>34</v>
      </c>
      <c r="L16" s="11">
        <v>20</v>
      </c>
      <c r="M16" s="2">
        <f t="shared" si="0"/>
        <v>40</v>
      </c>
      <c r="N16" s="2">
        <v>50</v>
      </c>
      <c r="O16" s="2">
        <v>50</v>
      </c>
      <c r="P16" s="2">
        <v>50</v>
      </c>
      <c r="Q16" s="2">
        <v>50</v>
      </c>
      <c r="R16" s="64">
        <f>(Q16-N16)/N16</f>
        <v>0</v>
      </c>
    </row>
    <row r="17" spans="1:18" ht="11.25" customHeight="1">
      <c r="A17" s="15" t="s">
        <v>165</v>
      </c>
      <c r="B17" s="4">
        <v>53.177</v>
      </c>
      <c r="C17" s="2">
        <v>184</v>
      </c>
      <c r="D17" s="2">
        <v>179</v>
      </c>
      <c r="E17" s="2">
        <v>221</v>
      </c>
      <c r="F17" s="2"/>
      <c r="G17" s="2"/>
      <c r="H17" s="2">
        <v>200</v>
      </c>
      <c r="I17" s="2"/>
      <c r="J17" s="2">
        <v>234</v>
      </c>
      <c r="K17" s="2"/>
      <c r="M17" s="2">
        <f t="shared" si="0"/>
        <v>0</v>
      </c>
      <c r="N17" s="2"/>
      <c r="O17" s="2"/>
      <c r="P17" s="2"/>
      <c r="Q17" s="2"/>
      <c r="R17" s="64"/>
    </row>
    <row r="18" spans="1:18" ht="12.75" hidden="1">
      <c r="A18" s="15" t="s">
        <v>82</v>
      </c>
      <c r="B18" s="4">
        <v>53.178</v>
      </c>
      <c r="C18" s="2"/>
      <c r="D18" s="2">
        <v>150</v>
      </c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  <c r="N18" s="2"/>
      <c r="O18" s="2"/>
      <c r="P18" s="2"/>
      <c r="Q18" s="2"/>
      <c r="R18" s="64"/>
    </row>
    <row r="19" spans="1:18" ht="12.75">
      <c r="A19" s="15" t="s">
        <v>70</v>
      </c>
      <c r="B19" s="4">
        <v>53.179</v>
      </c>
      <c r="C19" s="2">
        <v>896</v>
      </c>
      <c r="D19" s="2">
        <v>1186</v>
      </c>
      <c r="E19" s="2">
        <v>1329</v>
      </c>
      <c r="F19" s="2">
        <v>687</v>
      </c>
      <c r="G19" s="2">
        <v>597</v>
      </c>
      <c r="H19" s="2">
        <v>1100</v>
      </c>
      <c r="I19" s="2">
        <v>1321</v>
      </c>
      <c r="J19" s="2">
        <v>1493</v>
      </c>
      <c r="K19" s="2">
        <v>1460</v>
      </c>
      <c r="L19" s="11">
        <v>576</v>
      </c>
      <c r="M19" s="2">
        <f t="shared" si="0"/>
        <v>1152</v>
      </c>
      <c r="N19" s="2">
        <v>1200</v>
      </c>
      <c r="O19" s="2">
        <v>1200</v>
      </c>
      <c r="P19" s="2">
        <v>1200</v>
      </c>
      <c r="Q19" s="2">
        <v>1200</v>
      </c>
      <c r="R19" s="64">
        <f>(Q19-N19)/N19</f>
        <v>0</v>
      </c>
    </row>
    <row r="20" spans="1:18" ht="12.75">
      <c r="A20" s="15" t="s">
        <v>183</v>
      </c>
      <c r="B20" s="4" t="s">
        <v>27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4"/>
    </row>
    <row r="21" spans="1:20" ht="12.75">
      <c r="A21" s="15" t="s">
        <v>82</v>
      </c>
      <c r="K21">
        <v>54</v>
      </c>
      <c r="R21" s="64"/>
      <c r="T21" t="s">
        <v>489</v>
      </c>
    </row>
    <row r="22" spans="1:19" ht="12.75">
      <c r="A22" t="s">
        <v>170</v>
      </c>
      <c r="B22" s="4">
        <v>57.101</v>
      </c>
      <c r="C22" s="2">
        <v>76644</v>
      </c>
      <c r="D22" s="2">
        <v>78222</v>
      </c>
      <c r="E22" s="2">
        <v>81806</v>
      </c>
      <c r="F22" s="2">
        <v>76562</v>
      </c>
      <c r="G22" s="2">
        <v>76562</v>
      </c>
      <c r="H22" s="2">
        <v>68906</v>
      </c>
      <c r="I22" s="2">
        <v>68904</v>
      </c>
      <c r="J22" s="2">
        <v>68904</v>
      </c>
      <c r="K22" s="2">
        <v>68906</v>
      </c>
      <c r="L22" s="2">
        <v>34452</v>
      </c>
      <c r="M22" s="2">
        <v>68906</v>
      </c>
      <c r="N22" s="2">
        <v>68906</v>
      </c>
      <c r="O22" s="2">
        <v>111431</v>
      </c>
      <c r="P22" s="2">
        <v>68906</v>
      </c>
      <c r="Q22" s="2">
        <v>81431</v>
      </c>
      <c r="R22" s="64">
        <f>(Q22-N22)/N22</f>
        <v>0.18176936696368967</v>
      </c>
      <c r="S22" s="6"/>
    </row>
    <row r="23" spans="2:18" ht="12.75">
      <c r="B23" s="4"/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  <c r="P23" s="2"/>
      <c r="Q23" s="2"/>
      <c r="R23" s="64"/>
    </row>
    <row r="24" spans="1:19" ht="12.75">
      <c r="A24" t="s">
        <v>171</v>
      </c>
      <c r="B24" s="4">
        <v>57.102</v>
      </c>
      <c r="C24" s="2">
        <v>24228</v>
      </c>
      <c r="D24" s="2">
        <v>22209</v>
      </c>
      <c r="E24" s="2">
        <v>22209</v>
      </c>
      <c r="F24" s="2">
        <v>24228</v>
      </c>
      <c r="G24" s="2">
        <v>24228</v>
      </c>
      <c r="H24" s="2"/>
      <c r="I24" s="2">
        <v>6205</v>
      </c>
      <c r="J24" s="2">
        <v>6205</v>
      </c>
      <c r="K24" s="2">
        <v>4886</v>
      </c>
      <c r="L24" s="2">
        <v>3258</v>
      </c>
      <c r="M24" s="2">
        <v>6515</v>
      </c>
      <c r="N24" s="2">
        <v>6515</v>
      </c>
      <c r="O24" s="2">
        <v>6515</v>
      </c>
      <c r="P24" s="2">
        <v>6515</v>
      </c>
      <c r="Q24" s="2">
        <f>P24*0.95</f>
        <v>6189.25</v>
      </c>
      <c r="R24" s="64">
        <f>(Q24-N24)/N24</f>
        <v>-0.05</v>
      </c>
      <c r="S24" s="6" t="s">
        <v>560</v>
      </c>
    </row>
    <row r="25" spans="2:18" ht="12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9"/>
    </row>
    <row r="26" spans="1:18" ht="12.75">
      <c r="A26" s="6" t="s">
        <v>23</v>
      </c>
      <c r="B26" s="6"/>
      <c r="C26" s="8">
        <f aca="true" t="shared" si="1" ref="C26:I26">SUM(C8:C25)</f>
        <v>107849</v>
      </c>
      <c r="D26" s="8">
        <f t="shared" si="1"/>
        <v>104403</v>
      </c>
      <c r="E26" s="8">
        <f t="shared" si="1"/>
        <v>106572</v>
      </c>
      <c r="F26" s="8">
        <f t="shared" si="1"/>
        <v>102192</v>
      </c>
      <c r="G26" s="8">
        <f t="shared" si="1"/>
        <v>101431</v>
      </c>
      <c r="H26" s="8">
        <f t="shared" si="1"/>
        <v>70366</v>
      </c>
      <c r="I26" s="8">
        <f t="shared" si="1"/>
        <v>76919</v>
      </c>
      <c r="J26" s="8">
        <v>77018</v>
      </c>
      <c r="K26" s="8">
        <f aca="true" t="shared" si="2" ref="K26:Q26">SUM(K8:K25)</f>
        <v>81652</v>
      </c>
      <c r="L26" s="8">
        <f t="shared" si="2"/>
        <v>40596</v>
      </c>
      <c r="M26" s="8">
        <f t="shared" si="2"/>
        <v>79171</v>
      </c>
      <c r="N26" s="8">
        <f t="shared" si="2"/>
        <v>76821</v>
      </c>
      <c r="O26" s="8">
        <f t="shared" si="2"/>
        <v>120846</v>
      </c>
      <c r="P26" s="8">
        <f t="shared" si="2"/>
        <v>78321</v>
      </c>
      <c r="Q26" s="8">
        <f t="shared" si="2"/>
        <v>90520.25</v>
      </c>
      <c r="R26" s="50">
        <f>(Q26-N26)/N26</f>
        <v>0.1783268897827417</v>
      </c>
    </row>
    <row r="27" spans="3:18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9"/>
    </row>
    <row r="28" spans="3:18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1" t="s">
        <v>357</v>
      </c>
      <c r="O28" s="21"/>
      <c r="P28" s="53">
        <f>O26-P26</f>
        <v>42525</v>
      </c>
      <c r="Q28" s="2"/>
      <c r="R28" s="95">
        <f>Q22-P22</f>
        <v>12525</v>
      </c>
    </row>
    <row r="29" spans="14:18" ht="12.75">
      <c r="N29" s="21" t="s">
        <v>545</v>
      </c>
      <c r="O29" s="21"/>
      <c r="P29" s="53">
        <f>N26-P26</f>
        <v>-1500</v>
      </c>
      <c r="R29" s="49"/>
    </row>
    <row r="30" spans="14:18" ht="12.75">
      <c r="N30" s="21" t="s">
        <v>307</v>
      </c>
      <c r="O30" s="21"/>
      <c r="P30" s="53">
        <f>P26-Q26</f>
        <v>-12199.25</v>
      </c>
      <c r="R30" s="49"/>
    </row>
    <row r="31" spans="1:18" ht="12.75">
      <c r="A31" s="44"/>
      <c r="R31" s="49"/>
    </row>
    <row r="32" ht="12.75">
      <c r="R32" s="49"/>
    </row>
    <row r="33" ht="12.75">
      <c r="R33" s="49"/>
    </row>
    <row r="34" ht="12.75">
      <c r="R34" s="49"/>
    </row>
    <row r="35" spans="1:18" ht="12.75">
      <c r="A35" s="6"/>
      <c r="R35" s="49"/>
    </row>
    <row r="36" ht="12.75">
      <c r="R36" s="49"/>
    </row>
    <row r="37" spans="5:18" ht="12.75">
      <c r="E37" s="63">
        <f>24228-2423</f>
        <v>21805</v>
      </c>
      <c r="R37" s="49"/>
    </row>
    <row r="38" spans="5:18" ht="12.75">
      <c r="E38" s="63">
        <f>E37-((1800-500)*12)</f>
        <v>6205</v>
      </c>
      <c r="R38" s="49"/>
    </row>
    <row r="39" ht="12.75">
      <c r="R39" s="49"/>
    </row>
    <row r="40" spans="1:18" ht="12.75">
      <c r="A40" s="6"/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69" ht="12.75">
      <c r="R69" s="2"/>
    </row>
    <row r="70" ht="12.75">
      <c r="R70" s="2"/>
    </row>
    <row r="71" ht="12.75">
      <c r="R71" s="2"/>
    </row>
    <row r="72" ht="12.75">
      <c r="R72" s="2"/>
    </row>
    <row r="73" ht="12.75">
      <c r="R73" s="2"/>
    </row>
    <row r="74" ht="12.75">
      <c r="R74" s="2"/>
    </row>
  </sheetData>
  <printOptions gridLines="1"/>
  <pageMargins left="0.25" right="0.25" top="1" bottom="0.55" header="0.5" footer="0.25"/>
  <pageSetup fitToHeight="1" fitToWidth="1" horizontalDpi="300" verticalDpi="300" orientation="landscape" scale="73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S70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8.00390625" style="0" bestFit="1" customWidth="1"/>
    <col min="3" max="3" width="0.2890625" style="0" hidden="1" customWidth="1"/>
    <col min="4" max="5" width="11.7109375" style="0" hidden="1" customWidth="1"/>
    <col min="6" max="6" width="0.2890625" style="0" hidden="1" customWidth="1"/>
    <col min="7" max="7" width="7.57421875" style="0" hidden="1" customWidth="1"/>
    <col min="8" max="8" width="11.7109375" style="0" hidden="1" customWidth="1"/>
    <col min="9" max="12" width="11.7109375" style="0" customWidth="1"/>
    <col min="13" max="13" width="13.421875" style="0" bestFit="1" customWidth="1"/>
    <col min="14" max="14" width="10.28125" style="0" customWidth="1"/>
    <col min="15" max="15" width="9.00390625" style="0" customWidth="1"/>
    <col min="16" max="16" width="9.421875" style="0" bestFit="1" customWidth="1"/>
    <col min="17" max="17" width="8.7109375" style="0" bestFit="1" customWidth="1"/>
    <col min="18" max="18" width="9.85156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347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69" t="s">
        <v>380</v>
      </c>
      <c r="P4" s="69" t="s">
        <v>302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69" t="s">
        <v>388</v>
      </c>
      <c r="P5" s="69" t="s">
        <v>496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8" ht="12.75">
      <c r="A7" t="s">
        <v>511</v>
      </c>
      <c r="B7" s="4">
        <v>52.1255</v>
      </c>
      <c r="C7" s="2">
        <v>0</v>
      </c>
      <c r="D7" s="2">
        <v>0</v>
      </c>
      <c r="E7" s="2">
        <v>150</v>
      </c>
      <c r="F7" s="2">
        <v>300</v>
      </c>
      <c r="G7" s="2">
        <v>1274</v>
      </c>
      <c r="H7" s="2"/>
      <c r="I7" s="2"/>
      <c r="J7" s="2">
        <v>300</v>
      </c>
      <c r="K7" s="2">
        <v>150</v>
      </c>
      <c r="M7" s="2">
        <f aca="true" t="shared" si="0" ref="M7:M13">+L7/$L$3*12</f>
        <v>0</v>
      </c>
      <c r="N7" s="2">
        <v>300</v>
      </c>
      <c r="O7" s="2">
        <v>300</v>
      </c>
      <c r="P7" s="2">
        <v>300</v>
      </c>
      <c r="Q7" s="2">
        <v>300</v>
      </c>
      <c r="R7" s="64">
        <f>(Q7-N7)/N7</f>
        <v>0</v>
      </c>
    </row>
    <row r="8" spans="1:19" ht="12.75">
      <c r="A8" t="s">
        <v>442</v>
      </c>
      <c r="B8" s="4">
        <v>52.2214</v>
      </c>
      <c r="C8" s="2"/>
      <c r="D8" s="2"/>
      <c r="E8" s="2"/>
      <c r="F8" s="2"/>
      <c r="G8" s="2"/>
      <c r="H8" s="2">
        <v>8169</v>
      </c>
      <c r="I8" s="2">
        <v>28968</v>
      </c>
      <c r="J8" s="2">
        <v>34809</v>
      </c>
      <c r="K8" s="2">
        <v>67612</v>
      </c>
      <c r="L8" s="2">
        <v>20971</v>
      </c>
      <c r="M8" s="2">
        <f t="shared" si="0"/>
        <v>41942</v>
      </c>
      <c r="N8" s="2">
        <v>40000</v>
      </c>
      <c r="O8" s="2">
        <v>40000</v>
      </c>
      <c r="P8" s="2">
        <v>40000</v>
      </c>
      <c r="Q8" s="2">
        <v>40000</v>
      </c>
      <c r="R8" s="64">
        <f>(Q8-N8)/N8</f>
        <v>0</v>
      </c>
      <c r="S8" t="s">
        <v>512</v>
      </c>
    </row>
    <row r="9" spans="1:18" ht="12.75">
      <c r="A9" t="s">
        <v>173</v>
      </c>
      <c r="B9" s="4">
        <v>52.301</v>
      </c>
      <c r="C9" s="2"/>
      <c r="D9" s="2"/>
      <c r="E9" s="2">
        <v>4695</v>
      </c>
      <c r="F9" s="2">
        <v>4688</v>
      </c>
      <c r="G9" s="2">
        <v>3931</v>
      </c>
      <c r="H9" s="2">
        <v>3366</v>
      </c>
      <c r="I9" s="2"/>
      <c r="J9" s="2"/>
      <c r="K9" s="2"/>
      <c r="L9" s="2"/>
      <c r="M9" s="2">
        <f t="shared" si="0"/>
        <v>0</v>
      </c>
      <c r="N9" s="2"/>
      <c r="O9" s="2"/>
      <c r="P9" s="2"/>
      <c r="Q9" s="2"/>
      <c r="R9" s="64"/>
    </row>
    <row r="10" spans="1:18" ht="12.75">
      <c r="A10" t="s">
        <v>155</v>
      </c>
      <c r="B10" s="4">
        <v>52.2206</v>
      </c>
      <c r="I10">
        <v>10</v>
      </c>
      <c r="J10">
        <v>40</v>
      </c>
      <c r="K10">
        <v>350</v>
      </c>
      <c r="M10" s="2">
        <f t="shared" si="0"/>
        <v>0</v>
      </c>
      <c r="R10" s="65"/>
    </row>
    <row r="11" spans="1:18" ht="12.75">
      <c r="A11" t="s">
        <v>259</v>
      </c>
      <c r="B11" s="4">
        <v>53.175</v>
      </c>
      <c r="E11">
        <v>37</v>
      </c>
      <c r="F11">
        <v>85</v>
      </c>
      <c r="G11">
        <v>93</v>
      </c>
      <c r="H11" s="2">
        <v>75</v>
      </c>
      <c r="I11" s="2">
        <v>175</v>
      </c>
      <c r="J11" s="2">
        <v>1890</v>
      </c>
      <c r="K11" s="2">
        <v>2295</v>
      </c>
      <c r="L11" s="2">
        <v>91</v>
      </c>
      <c r="M11" s="2">
        <f t="shared" si="0"/>
        <v>182</v>
      </c>
      <c r="N11" s="2">
        <v>100</v>
      </c>
      <c r="O11" s="2">
        <v>100</v>
      </c>
      <c r="P11" s="2">
        <v>100</v>
      </c>
      <c r="Q11" s="2">
        <v>100</v>
      </c>
      <c r="R11" s="64">
        <f>(Q11-N11)/N11</f>
        <v>0</v>
      </c>
    </row>
    <row r="12" spans="1:18" ht="12.75">
      <c r="A12" t="s">
        <v>285</v>
      </c>
      <c r="B12" s="4">
        <v>53.176</v>
      </c>
      <c r="E12">
        <v>37</v>
      </c>
      <c r="F12">
        <v>44</v>
      </c>
      <c r="G12">
        <v>71</v>
      </c>
      <c r="H12" s="2">
        <v>52</v>
      </c>
      <c r="I12" s="2">
        <v>76</v>
      </c>
      <c r="J12" s="2">
        <v>83</v>
      </c>
      <c r="K12" s="2">
        <v>90</v>
      </c>
      <c r="L12" s="2">
        <v>22</v>
      </c>
      <c r="M12" s="2">
        <f t="shared" si="0"/>
        <v>44</v>
      </c>
      <c r="N12" s="2">
        <v>100</v>
      </c>
      <c r="O12" s="2">
        <v>100</v>
      </c>
      <c r="P12" s="2">
        <v>100</v>
      </c>
      <c r="Q12" s="2">
        <v>100</v>
      </c>
      <c r="R12" s="64">
        <f>(Q12-N12)/N12</f>
        <v>0</v>
      </c>
    </row>
    <row r="13" spans="1:18" ht="12.75">
      <c r="A13" t="s">
        <v>497</v>
      </c>
      <c r="B13" s="4">
        <v>53.177</v>
      </c>
      <c r="E13">
        <v>276</v>
      </c>
      <c r="F13">
        <v>342</v>
      </c>
      <c r="G13">
        <v>182</v>
      </c>
      <c r="H13" s="2">
        <v>198</v>
      </c>
      <c r="I13" s="2">
        <v>512</v>
      </c>
      <c r="J13" s="2">
        <v>98</v>
      </c>
      <c r="K13" s="2">
        <v>431</v>
      </c>
      <c r="L13" s="2"/>
      <c r="M13" s="2">
        <f t="shared" si="0"/>
        <v>0</v>
      </c>
      <c r="R13" s="64"/>
    </row>
    <row r="14" spans="1:18" ht="12.75">
      <c r="A14" t="s">
        <v>82</v>
      </c>
      <c r="B14" s="4">
        <v>53.178</v>
      </c>
      <c r="C14" s="2"/>
      <c r="D14" s="2">
        <v>531</v>
      </c>
      <c r="E14" s="2">
        <v>1679</v>
      </c>
      <c r="F14" s="2">
        <v>1172</v>
      </c>
      <c r="G14" s="2">
        <v>56</v>
      </c>
      <c r="H14" s="2">
        <v>50</v>
      </c>
      <c r="I14" s="2"/>
      <c r="J14" s="2"/>
      <c r="K14" s="2"/>
      <c r="L14" s="2"/>
      <c r="M14" s="2">
        <f>+L14/$L$3*12</f>
        <v>0</v>
      </c>
      <c r="N14" s="2"/>
      <c r="O14" s="2"/>
      <c r="P14" s="2"/>
      <c r="Q14" s="2"/>
      <c r="R14" s="64"/>
    </row>
    <row r="15" spans="1:18" ht="12.75">
      <c r="A15" t="s">
        <v>70</v>
      </c>
      <c r="B15" s="4">
        <v>53.179</v>
      </c>
      <c r="C15" s="2"/>
      <c r="D15" s="2"/>
      <c r="E15" s="2"/>
      <c r="F15" s="2"/>
      <c r="G15" s="2">
        <v>1870</v>
      </c>
      <c r="H15" s="2">
        <v>1473</v>
      </c>
      <c r="I15" s="2">
        <v>3535</v>
      </c>
      <c r="J15" s="2">
        <v>3648</v>
      </c>
      <c r="K15" s="2">
        <v>3212</v>
      </c>
      <c r="L15" s="2">
        <v>1325</v>
      </c>
      <c r="M15" s="2">
        <f>+L15/$L$3*12</f>
        <v>2650</v>
      </c>
      <c r="N15" s="2">
        <v>3200</v>
      </c>
      <c r="O15" s="2">
        <v>3200</v>
      </c>
      <c r="P15" s="2">
        <v>3200</v>
      </c>
      <c r="Q15" s="2">
        <v>3200</v>
      </c>
      <c r="R15" s="64">
        <f>(Q15-N15)/N15</f>
        <v>0</v>
      </c>
    </row>
    <row r="16" spans="2:18" ht="12.75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64"/>
    </row>
    <row r="17" spans="1:19" ht="12.75">
      <c r="A17" t="s">
        <v>172</v>
      </c>
      <c r="B17" s="4">
        <v>57.103</v>
      </c>
      <c r="C17" s="2"/>
      <c r="D17" s="2"/>
      <c r="E17" s="2">
        <v>53736</v>
      </c>
      <c r="F17" s="2">
        <v>59819</v>
      </c>
      <c r="G17" s="2">
        <v>49700</v>
      </c>
      <c r="H17" s="2">
        <v>44010</v>
      </c>
      <c r="I17" s="2">
        <v>58680</v>
      </c>
      <c r="J17" s="2">
        <v>58680</v>
      </c>
      <c r="K17" s="2">
        <v>72545</v>
      </c>
      <c r="L17" s="2">
        <v>30000</v>
      </c>
      <c r="M17" s="2">
        <v>60000</v>
      </c>
      <c r="N17" s="2">
        <v>60000</v>
      </c>
      <c r="O17" s="2">
        <v>74986</v>
      </c>
      <c r="P17" s="2">
        <v>60000</v>
      </c>
      <c r="Q17" s="2">
        <v>60000</v>
      </c>
      <c r="R17" s="64">
        <f>(Q17-N17)/N17</f>
        <v>0</v>
      </c>
      <c r="S17" s="6"/>
    </row>
    <row r="18" spans="1:18" ht="12.75">
      <c r="A18" t="s">
        <v>460</v>
      </c>
      <c r="B18" s="4"/>
      <c r="C18" s="2"/>
      <c r="D18" s="2"/>
      <c r="E18" s="2"/>
      <c r="F18" s="2"/>
      <c r="G18" s="2"/>
      <c r="H18" s="2"/>
      <c r="I18" s="2">
        <v>14670</v>
      </c>
      <c r="J18" s="2"/>
      <c r="K18" s="2"/>
      <c r="L18" s="2"/>
      <c r="M18" s="2"/>
      <c r="N18" s="2"/>
      <c r="O18" s="2"/>
      <c r="P18" s="2"/>
      <c r="Q18" s="2"/>
      <c r="R18" s="49"/>
    </row>
    <row r="19" spans="1:18" ht="12.75">
      <c r="A19" t="s">
        <v>718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22000</v>
      </c>
      <c r="O19" s="2"/>
      <c r="P19" s="2"/>
      <c r="Q19" s="2"/>
      <c r="R19" s="49"/>
    </row>
    <row r="20" spans="1:19" ht="12.75">
      <c r="A20" t="s">
        <v>716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2500</v>
      </c>
      <c r="O20" s="2">
        <v>2500</v>
      </c>
      <c r="P20" s="2">
        <v>2500</v>
      </c>
      <c r="Q20" s="2">
        <v>2500</v>
      </c>
      <c r="R20" s="49"/>
      <c r="S20" t="s">
        <v>374</v>
      </c>
    </row>
    <row r="21" spans="1:18" ht="12.75">
      <c r="A21" t="s">
        <v>540</v>
      </c>
      <c r="B21" s="4">
        <v>57.1032</v>
      </c>
      <c r="C21" s="2"/>
      <c r="D21" s="2"/>
      <c r="E21" s="2"/>
      <c r="F21" s="2"/>
      <c r="G21" s="2"/>
      <c r="H21" s="2"/>
      <c r="I21" s="2"/>
      <c r="J21" s="2">
        <v>7500</v>
      </c>
      <c r="K21" s="2"/>
      <c r="L21" s="2"/>
      <c r="M21" s="2"/>
      <c r="N21" s="2"/>
      <c r="O21" s="2"/>
      <c r="P21" s="2"/>
      <c r="Q21" s="2"/>
      <c r="R21" s="49"/>
    </row>
    <row r="22" spans="2:18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49"/>
    </row>
    <row r="23" spans="1:18" ht="12.75">
      <c r="A23" s="6" t="s">
        <v>23</v>
      </c>
      <c r="B23" s="6"/>
      <c r="C23" s="8">
        <f>SUM(C11:C16)</f>
        <v>0</v>
      </c>
      <c r="D23" s="8">
        <f>SUM(D11:D16)</f>
        <v>531</v>
      </c>
      <c r="E23" s="8">
        <f>SUM(E7:E22)</f>
        <v>60610</v>
      </c>
      <c r="F23" s="8">
        <f>SUM(F7:F22)</f>
        <v>66450</v>
      </c>
      <c r="G23" s="8">
        <f>SUM(G7:G22)</f>
        <v>57177</v>
      </c>
      <c r="H23" s="8">
        <f>SUM(H7:H22)</f>
        <v>57393</v>
      </c>
      <c r="I23" s="8">
        <f>SUM(I7:I22)</f>
        <v>106626</v>
      </c>
      <c r="J23" s="8">
        <v>107047</v>
      </c>
      <c r="K23" s="8">
        <f aca="true" t="shared" si="1" ref="K23:Q23">SUM(K7:K22)</f>
        <v>146685</v>
      </c>
      <c r="L23" s="8">
        <f t="shared" si="1"/>
        <v>52409</v>
      </c>
      <c r="M23" s="8">
        <f t="shared" si="1"/>
        <v>104818</v>
      </c>
      <c r="N23" s="8">
        <f t="shared" si="1"/>
        <v>128200</v>
      </c>
      <c r="O23" s="8">
        <f t="shared" si="1"/>
        <v>121186</v>
      </c>
      <c r="P23" s="8">
        <f t="shared" si="1"/>
        <v>106200</v>
      </c>
      <c r="Q23" s="8">
        <f t="shared" si="1"/>
        <v>106200</v>
      </c>
      <c r="R23" s="50">
        <f>(Q23-N23)/N23</f>
        <v>-0.17160686427457097</v>
      </c>
    </row>
    <row r="24" spans="3:18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9"/>
    </row>
    <row r="25" spans="3:18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1" t="s">
        <v>357</v>
      </c>
      <c r="O25" s="21"/>
      <c r="P25" s="53">
        <f>O23-P23</f>
        <v>14986</v>
      </c>
      <c r="Q25" s="2"/>
      <c r="R25" s="49"/>
    </row>
    <row r="26" spans="14:18" ht="12.75">
      <c r="N26" s="21" t="s">
        <v>545</v>
      </c>
      <c r="O26" s="21"/>
      <c r="P26" s="53">
        <f>N23-P23</f>
        <v>22000</v>
      </c>
      <c r="R26" s="49"/>
    </row>
    <row r="27" spans="14:18" ht="12.75">
      <c r="N27" s="21" t="s">
        <v>307</v>
      </c>
      <c r="O27" s="21"/>
      <c r="P27" s="53">
        <f>P23-Q23</f>
        <v>0</v>
      </c>
      <c r="R27" s="49"/>
    </row>
    <row r="28" spans="1:18" ht="12.75">
      <c r="A28" t="s">
        <v>513</v>
      </c>
      <c r="B28">
        <v>33.4119</v>
      </c>
      <c r="I28">
        <v>32860</v>
      </c>
      <c r="J28" s="41">
        <v>44323.5</v>
      </c>
      <c r="K28" s="41">
        <v>53607</v>
      </c>
      <c r="R28" s="49"/>
    </row>
    <row r="29" ht="12.75">
      <c r="R29" s="49"/>
    </row>
    <row r="30" spans="1:18" ht="12.75">
      <c r="A30" s="44"/>
      <c r="R30" s="49"/>
    </row>
    <row r="31" spans="1:18" ht="12.75">
      <c r="A31" t="s">
        <v>8</v>
      </c>
      <c r="R31" s="49"/>
    </row>
    <row r="32" ht="12.75">
      <c r="R32" s="49"/>
    </row>
    <row r="33" spans="1:18" ht="12.75">
      <c r="A33" s="6"/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65" ht="12.75">
      <c r="R65" s="2"/>
    </row>
    <row r="66" ht="12.75">
      <c r="R66" s="2"/>
    </row>
    <row r="67" ht="12.75">
      <c r="R67" s="2"/>
    </row>
    <row r="68" ht="12.75">
      <c r="R68" s="2"/>
    </row>
    <row r="69" ht="12.75">
      <c r="R69" s="2"/>
    </row>
    <row r="70" ht="12.75">
      <c r="R70" s="2"/>
    </row>
  </sheetData>
  <printOptions gridLines="1"/>
  <pageMargins left="0.25" right="0.25" top="1" bottom="0.55" header="0.5" footer="0.25"/>
  <pageSetup fitToHeight="1" fitToWidth="1" horizontalDpi="300" verticalDpi="300" orientation="landscape" scale="84" r:id="rId1"/>
  <headerFooter alignWithMargins="0">
    <oddFooter>&amp;L&amp;F
&amp;A&amp;CPage &amp;P of &amp;N&amp;R&amp;D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S70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8" width="11.7109375" style="0" hidden="1" customWidth="1"/>
    <col min="9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7" max="17" width="8.00390625" style="0" bestFit="1" customWidth="1"/>
    <col min="18" max="18" width="9.421875" style="0" bestFit="1" customWidth="1"/>
    <col min="19" max="19" width="6.8515625" style="0" bestFit="1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348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9" ht="12.75">
      <c r="A7" t="s">
        <v>491</v>
      </c>
      <c r="B7" s="4">
        <v>51.11</v>
      </c>
      <c r="C7" s="2">
        <v>35448</v>
      </c>
      <c r="D7" s="2">
        <v>40426</v>
      </c>
      <c r="E7" s="2">
        <v>42496</v>
      </c>
      <c r="F7" s="2">
        <v>44113</v>
      </c>
      <c r="G7" s="2">
        <v>45554</v>
      </c>
      <c r="H7" s="2">
        <v>46594</v>
      </c>
      <c r="I7" s="2">
        <v>47794</v>
      </c>
      <c r="J7" s="2">
        <v>51053</v>
      </c>
      <c r="K7" s="2">
        <v>56189</v>
      </c>
      <c r="L7" s="2">
        <v>25439</v>
      </c>
      <c r="M7" s="2">
        <f aca="true" t="shared" si="0" ref="M7:M28">+L7/$L$3*12</f>
        <v>50878</v>
      </c>
      <c r="N7" s="2">
        <v>55878.367</v>
      </c>
      <c r="O7" s="2">
        <v>57877</v>
      </c>
      <c r="P7" s="2">
        <v>57877.1375</v>
      </c>
      <c r="Q7" s="2">
        <v>57877.1375</v>
      </c>
      <c r="R7" s="64">
        <f aca="true" t="shared" si="1" ref="R7:R31">(Q7-N7)/N7</f>
        <v>0.03577002348690682</v>
      </c>
      <c r="S7" t="s">
        <v>548</v>
      </c>
    </row>
    <row r="8" spans="1:19" ht="12.75">
      <c r="A8" t="s">
        <v>360</v>
      </c>
      <c r="B8" s="4">
        <v>51.21</v>
      </c>
      <c r="C8" s="2">
        <v>2184</v>
      </c>
      <c r="D8" s="2">
        <v>2518</v>
      </c>
      <c r="E8" s="2">
        <v>3182</v>
      </c>
      <c r="F8" s="2">
        <v>2840</v>
      </c>
      <c r="G8" s="2">
        <v>3023</v>
      </c>
      <c r="H8" s="2">
        <v>3161</v>
      </c>
      <c r="I8" s="2">
        <v>3184</v>
      </c>
      <c r="J8" s="2">
        <v>3398</v>
      </c>
      <c r="K8" s="2">
        <v>4011</v>
      </c>
      <c r="L8" s="2">
        <v>2112</v>
      </c>
      <c r="M8" s="2">
        <f t="shared" si="0"/>
        <v>4224</v>
      </c>
      <c r="N8" s="29">
        <v>4415.7</v>
      </c>
      <c r="O8" s="29">
        <v>4800</v>
      </c>
      <c r="P8" s="29">
        <v>4800</v>
      </c>
      <c r="Q8" s="29">
        <v>4800</v>
      </c>
      <c r="R8" s="64">
        <f>(Q8-N8)/N8</f>
        <v>0.0870303689109315</v>
      </c>
      <c r="S8" t="s">
        <v>605</v>
      </c>
    </row>
    <row r="9" spans="1:18" ht="12.75">
      <c r="A9" t="s">
        <v>30</v>
      </c>
      <c r="B9" s="4">
        <v>51.22</v>
      </c>
      <c r="C9" s="2">
        <v>2711</v>
      </c>
      <c r="D9" s="2">
        <v>3092</v>
      </c>
      <c r="E9" s="2">
        <v>3255</v>
      </c>
      <c r="F9" s="2">
        <v>3436</v>
      </c>
      <c r="G9" s="2">
        <v>3483</v>
      </c>
      <c r="H9" s="2">
        <v>3564</v>
      </c>
      <c r="I9" s="2">
        <v>3630</v>
      </c>
      <c r="J9" s="2">
        <v>3878</v>
      </c>
      <c r="K9" s="2">
        <v>4369</v>
      </c>
      <c r="L9" s="2">
        <v>2023</v>
      </c>
      <c r="M9" s="2">
        <f t="shared" si="0"/>
        <v>4046</v>
      </c>
      <c r="N9" s="2">
        <v>4274.6950755</v>
      </c>
      <c r="O9" s="2">
        <v>4428</v>
      </c>
      <c r="P9" s="2">
        <f>P7*0.0765</f>
        <v>4427.60101875</v>
      </c>
      <c r="Q9" s="2">
        <f>Q7*0.0765</f>
        <v>4427.60101875</v>
      </c>
      <c r="R9" s="64">
        <f t="shared" si="1"/>
        <v>0.035770023486906805</v>
      </c>
    </row>
    <row r="10" spans="1:18" ht="12.75">
      <c r="A10" t="s">
        <v>44</v>
      </c>
      <c r="B10" s="4">
        <v>51.24</v>
      </c>
      <c r="C10" s="2">
        <v>740</v>
      </c>
      <c r="D10" s="2">
        <v>839</v>
      </c>
      <c r="E10" s="2">
        <v>889</v>
      </c>
      <c r="F10" s="2">
        <v>920</v>
      </c>
      <c r="G10" s="2">
        <v>948</v>
      </c>
      <c r="H10" s="2">
        <v>976</v>
      </c>
      <c r="I10" s="2">
        <v>1360</v>
      </c>
      <c r="J10" s="2">
        <v>1072</v>
      </c>
      <c r="K10" s="2">
        <v>1158</v>
      </c>
      <c r="L10" s="2">
        <v>608</v>
      </c>
      <c r="M10" s="2">
        <f t="shared" si="0"/>
        <v>1216</v>
      </c>
      <c r="N10" s="20">
        <v>1300</v>
      </c>
      <c r="O10" s="2">
        <v>1300</v>
      </c>
      <c r="P10" s="20">
        <v>1300</v>
      </c>
      <c r="Q10" s="20">
        <v>1300</v>
      </c>
      <c r="R10" s="64">
        <f t="shared" si="1"/>
        <v>0</v>
      </c>
    </row>
    <row r="11" spans="2:18" ht="12.75">
      <c r="B11" s="4"/>
      <c r="C11" s="2"/>
      <c r="D11" s="2"/>
      <c r="E11" s="2"/>
      <c r="F11" s="2"/>
      <c r="G11" s="2"/>
      <c r="H11" s="2"/>
      <c r="I11" s="2">
        <v>25</v>
      </c>
      <c r="J11" s="2"/>
      <c r="K11" s="2"/>
      <c r="L11" s="2"/>
      <c r="M11" s="2"/>
      <c r="N11" s="13"/>
      <c r="O11" s="2"/>
      <c r="P11" s="13"/>
      <c r="Q11" s="13"/>
      <c r="R11" s="64"/>
    </row>
    <row r="12" spans="1:18" ht="12.75">
      <c r="A12" t="s">
        <v>281</v>
      </c>
      <c r="B12" s="4">
        <v>52.21</v>
      </c>
      <c r="C12" s="2"/>
      <c r="D12" s="2"/>
      <c r="E12" s="2"/>
      <c r="F12" s="2">
        <v>201</v>
      </c>
      <c r="G12" s="2"/>
      <c r="H12" s="2"/>
      <c r="I12" s="2"/>
      <c r="J12" s="2"/>
      <c r="K12" s="2"/>
      <c r="L12" s="2"/>
      <c r="M12" s="2"/>
      <c r="N12" s="20"/>
      <c r="O12" s="2"/>
      <c r="P12" s="20"/>
      <c r="Q12" s="20"/>
      <c r="R12" s="64"/>
    </row>
    <row r="13" spans="1:19" ht="12.75">
      <c r="A13" t="s">
        <v>87</v>
      </c>
      <c r="B13" s="4">
        <v>52.211</v>
      </c>
      <c r="C13" s="2"/>
      <c r="D13" s="2"/>
      <c r="E13" s="2">
        <v>694</v>
      </c>
      <c r="F13" s="2">
        <v>202</v>
      </c>
      <c r="G13" s="2">
        <v>339</v>
      </c>
      <c r="H13" s="2">
        <v>366</v>
      </c>
      <c r="I13" s="2">
        <f>376+34</f>
        <v>410</v>
      </c>
      <c r="J13" s="2">
        <v>403</v>
      </c>
      <c r="K13" s="2">
        <v>463</v>
      </c>
      <c r="L13" s="2">
        <v>236</v>
      </c>
      <c r="M13" s="2">
        <f t="shared" si="0"/>
        <v>472</v>
      </c>
      <c r="N13" s="2">
        <v>475</v>
      </c>
      <c r="O13" s="2">
        <v>475</v>
      </c>
      <c r="P13" s="2">
        <v>475</v>
      </c>
      <c r="Q13" s="2">
        <v>475</v>
      </c>
      <c r="R13" s="64">
        <f t="shared" si="1"/>
        <v>0</v>
      </c>
      <c r="S13" s="15"/>
    </row>
    <row r="14" spans="1:18" ht="12.75" hidden="1">
      <c r="A14" t="s">
        <v>175</v>
      </c>
      <c r="B14" s="4">
        <v>52.2201</v>
      </c>
      <c r="C14" s="2"/>
      <c r="D14" s="2"/>
      <c r="E14" s="2">
        <v>180</v>
      </c>
      <c r="F14" s="2">
        <v>195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4"/>
    </row>
    <row r="15" spans="1:19" ht="12.75">
      <c r="A15" t="s">
        <v>32</v>
      </c>
      <c r="B15" s="4">
        <v>52.32</v>
      </c>
      <c r="C15" s="2">
        <v>222</v>
      </c>
      <c r="D15" s="2">
        <v>333</v>
      </c>
      <c r="E15" s="2">
        <v>464</v>
      </c>
      <c r="F15" s="2">
        <v>910</v>
      </c>
      <c r="G15" s="2">
        <v>931</v>
      </c>
      <c r="H15" s="2">
        <v>622</v>
      </c>
      <c r="I15" s="2">
        <v>770</v>
      </c>
      <c r="J15" s="2">
        <v>699</v>
      </c>
      <c r="K15" s="2">
        <v>732</v>
      </c>
      <c r="L15" s="2">
        <v>388</v>
      </c>
      <c r="M15" s="2">
        <f t="shared" si="0"/>
        <v>776</v>
      </c>
      <c r="N15" s="2">
        <v>700</v>
      </c>
      <c r="O15" s="2">
        <v>700</v>
      </c>
      <c r="P15" s="2">
        <v>700</v>
      </c>
      <c r="Q15" s="2">
        <v>500</v>
      </c>
      <c r="R15" s="64">
        <f t="shared" si="1"/>
        <v>-0.2857142857142857</v>
      </c>
      <c r="S15" s="31"/>
    </row>
    <row r="16" spans="1:18" ht="12.75">
      <c r="A16" t="s">
        <v>33</v>
      </c>
      <c r="B16" s="4">
        <v>52.321</v>
      </c>
      <c r="C16" s="2">
        <v>81</v>
      </c>
      <c r="D16" s="2">
        <v>45</v>
      </c>
      <c r="E16" s="2">
        <v>68</v>
      </c>
      <c r="F16" s="2">
        <v>68</v>
      </c>
      <c r="G16" s="2">
        <v>105</v>
      </c>
      <c r="H16" s="2">
        <v>37</v>
      </c>
      <c r="I16" s="2">
        <v>37</v>
      </c>
      <c r="J16" s="2"/>
      <c r="K16" s="2"/>
      <c r="L16" s="2"/>
      <c r="M16" s="2">
        <v>50</v>
      </c>
      <c r="N16" s="2">
        <v>50</v>
      </c>
      <c r="O16" s="2">
        <v>50</v>
      </c>
      <c r="P16" s="2">
        <v>50</v>
      </c>
      <c r="Q16" s="2">
        <v>50</v>
      </c>
      <c r="R16" s="64">
        <f t="shared" si="1"/>
        <v>0</v>
      </c>
    </row>
    <row r="17" spans="1:19" ht="12.75">
      <c r="A17" t="s">
        <v>34</v>
      </c>
      <c r="B17" s="4">
        <v>52.35</v>
      </c>
      <c r="C17" s="2">
        <v>603</v>
      </c>
      <c r="D17" s="2">
        <v>961</v>
      </c>
      <c r="E17" s="2">
        <v>623</v>
      </c>
      <c r="F17" s="2">
        <v>940</v>
      </c>
      <c r="G17" s="2">
        <v>967</v>
      </c>
      <c r="H17" s="2">
        <v>481</v>
      </c>
      <c r="I17" s="2">
        <v>241</v>
      </c>
      <c r="J17" s="2">
        <v>167</v>
      </c>
      <c r="K17" s="2">
        <v>542</v>
      </c>
      <c r="L17" s="2"/>
      <c r="M17" s="2">
        <v>500</v>
      </c>
      <c r="N17" s="2">
        <v>500</v>
      </c>
      <c r="O17" s="2">
        <v>500</v>
      </c>
      <c r="P17" s="2">
        <v>500</v>
      </c>
      <c r="Q17" s="2">
        <v>500</v>
      </c>
      <c r="R17" s="64">
        <f t="shared" si="1"/>
        <v>0</v>
      </c>
      <c r="S17" s="31"/>
    </row>
    <row r="18" spans="2:18" ht="12.75">
      <c r="B18" s="4"/>
      <c r="C18" s="2"/>
      <c r="D18" s="2"/>
      <c r="E18" s="2"/>
      <c r="F18" s="2"/>
      <c r="G18" s="2"/>
      <c r="H18" s="2"/>
      <c r="I18" s="2">
        <v>716</v>
      </c>
      <c r="J18" s="2"/>
      <c r="K18" s="2"/>
      <c r="L18" s="2"/>
      <c r="M18" s="2"/>
      <c r="N18" s="2"/>
      <c r="O18" s="2"/>
      <c r="P18" s="2"/>
      <c r="Q18" s="2"/>
      <c r="R18" s="64"/>
    </row>
    <row r="19" spans="1:18" ht="12.75">
      <c r="A19" t="s">
        <v>39</v>
      </c>
      <c r="B19" s="4">
        <v>53.12</v>
      </c>
      <c r="C19" s="2">
        <v>6701</v>
      </c>
      <c r="D19" s="2">
        <v>6238</v>
      </c>
      <c r="E19" s="2">
        <v>6325</v>
      </c>
      <c r="F19" s="2">
        <v>5755</v>
      </c>
      <c r="G19" s="2">
        <v>6704</v>
      </c>
      <c r="H19" s="2">
        <v>7029</v>
      </c>
      <c r="I19" s="2">
        <v>7461</v>
      </c>
      <c r="J19" s="2">
        <v>8287</v>
      </c>
      <c r="K19" s="2">
        <v>8318</v>
      </c>
      <c r="L19" s="2">
        <v>4254</v>
      </c>
      <c r="M19" s="2">
        <f t="shared" si="0"/>
        <v>8508</v>
      </c>
      <c r="N19" s="2">
        <v>8100</v>
      </c>
      <c r="O19" s="2">
        <v>8500</v>
      </c>
      <c r="P19" s="2">
        <v>8100</v>
      </c>
      <c r="Q19" s="2">
        <v>8100</v>
      </c>
      <c r="R19" s="64"/>
    </row>
    <row r="20" spans="1:18" ht="12.75">
      <c r="A20" t="s">
        <v>176</v>
      </c>
      <c r="B20" s="4">
        <v>53.1322</v>
      </c>
      <c r="C20" s="2">
        <v>22224</v>
      </c>
      <c r="D20" s="2">
        <v>21899</v>
      </c>
      <c r="E20" s="2">
        <v>22910</v>
      </c>
      <c r="F20" s="2">
        <v>19357</v>
      </c>
      <c r="G20" s="2">
        <v>20274</v>
      </c>
      <c r="H20" s="2">
        <v>21921</v>
      </c>
      <c r="I20" s="2">
        <v>21590</v>
      </c>
      <c r="J20" s="2">
        <v>18172</v>
      </c>
      <c r="K20" s="2">
        <f>18948+78</f>
        <v>19026</v>
      </c>
      <c r="L20" s="2">
        <v>8411</v>
      </c>
      <c r="M20" s="2">
        <f t="shared" si="0"/>
        <v>16822</v>
      </c>
      <c r="N20" s="2">
        <v>18000</v>
      </c>
      <c r="O20" s="2">
        <v>18000</v>
      </c>
      <c r="P20" s="2">
        <v>17000</v>
      </c>
      <c r="Q20" s="2">
        <v>12300</v>
      </c>
      <c r="R20" s="64">
        <f t="shared" si="1"/>
        <v>-0.31666666666666665</v>
      </c>
    </row>
    <row r="21" spans="1:18" ht="12.75">
      <c r="A21" t="s">
        <v>177</v>
      </c>
      <c r="B21" s="4">
        <v>53.1701</v>
      </c>
      <c r="C21" s="2">
        <v>848</v>
      </c>
      <c r="D21" s="2">
        <v>852</v>
      </c>
      <c r="E21" s="2">
        <v>760</v>
      </c>
      <c r="F21" s="2">
        <v>802</v>
      </c>
      <c r="G21" s="2">
        <v>859</v>
      </c>
      <c r="H21" s="2">
        <v>918</v>
      </c>
      <c r="I21" s="2">
        <v>1187</v>
      </c>
      <c r="J21" s="2">
        <v>1209</v>
      </c>
      <c r="K21" s="2">
        <v>1349</v>
      </c>
      <c r="L21" s="2">
        <v>550</v>
      </c>
      <c r="M21" s="2">
        <f t="shared" si="0"/>
        <v>1100</v>
      </c>
      <c r="N21" s="2">
        <v>1400</v>
      </c>
      <c r="O21" s="2">
        <v>1400</v>
      </c>
      <c r="P21" s="2">
        <v>1100</v>
      </c>
      <c r="Q21" s="2">
        <v>1100</v>
      </c>
      <c r="R21" s="64">
        <f t="shared" si="1"/>
        <v>-0.21428571428571427</v>
      </c>
    </row>
    <row r="22" spans="1:18" ht="12.75">
      <c r="A22" t="s">
        <v>159</v>
      </c>
      <c r="B22" s="4">
        <v>53.1702</v>
      </c>
      <c r="C22" s="2">
        <v>221</v>
      </c>
      <c r="D22" s="2">
        <v>37</v>
      </c>
      <c r="E22" s="2">
        <v>170</v>
      </c>
      <c r="F22" s="2">
        <v>241</v>
      </c>
      <c r="G22" s="2">
        <v>32</v>
      </c>
      <c r="H22" s="2">
        <v>87</v>
      </c>
      <c r="I22" s="2">
        <v>34</v>
      </c>
      <c r="J22" s="2">
        <v>45</v>
      </c>
      <c r="K22" s="2"/>
      <c r="L22" s="2"/>
      <c r="M22" s="2">
        <f t="shared" si="0"/>
        <v>0</v>
      </c>
      <c r="N22" s="2">
        <v>50</v>
      </c>
      <c r="O22" s="2">
        <v>50</v>
      </c>
      <c r="P22" s="2">
        <v>50</v>
      </c>
      <c r="Q22" s="2">
        <v>50</v>
      </c>
      <c r="R22" s="64">
        <f t="shared" si="1"/>
        <v>0</v>
      </c>
    </row>
    <row r="23" spans="1:19" ht="12.75">
      <c r="A23" t="s">
        <v>178</v>
      </c>
      <c r="B23" s="4">
        <v>53.1704</v>
      </c>
      <c r="C23" s="2">
        <v>891</v>
      </c>
      <c r="D23" s="2">
        <v>440</v>
      </c>
      <c r="E23" s="2">
        <v>125</v>
      </c>
      <c r="F23" s="2">
        <v>558</v>
      </c>
      <c r="G23" s="2"/>
      <c r="H23" s="2">
        <v>73</v>
      </c>
      <c r="I23" s="2">
        <v>400</v>
      </c>
      <c r="J23" s="2">
        <v>400</v>
      </c>
      <c r="K23" s="2">
        <f>243+115</f>
        <v>358</v>
      </c>
      <c r="L23" s="2"/>
      <c r="M23" s="2">
        <f t="shared" si="0"/>
        <v>0</v>
      </c>
      <c r="N23" s="2">
        <v>400</v>
      </c>
      <c r="O23" s="2">
        <v>400</v>
      </c>
      <c r="P23" s="2">
        <v>400</v>
      </c>
      <c r="Q23" s="2">
        <v>400</v>
      </c>
      <c r="R23" s="64">
        <f t="shared" si="1"/>
        <v>0</v>
      </c>
      <c r="S23" s="2" t="s">
        <v>374</v>
      </c>
    </row>
    <row r="24" spans="1:18" ht="12.75">
      <c r="A24" t="s">
        <v>154</v>
      </c>
      <c r="B24" s="4">
        <v>53.171</v>
      </c>
      <c r="C24" s="2">
        <v>79</v>
      </c>
      <c r="D24" s="2">
        <v>148</v>
      </c>
      <c r="E24" s="2">
        <v>163</v>
      </c>
      <c r="F24" s="2">
        <v>172</v>
      </c>
      <c r="G24" s="2">
        <v>617</v>
      </c>
      <c r="H24" s="2">
        <v>151</v>
      </c>
      <c r="I24" s="2">
        <v>247</v>
      </c>
      <c r="J24" s="2">
        <v>133</v>
      </c>
      <c r="K24" s="2">
        <v>149</v>
      </c>
      <c r="L24" s="2">
        <v>71</v>
      </c>
      <c r="M24" s="2">
        <f t="shared" si="0"/>
        <v>142</v>
      </c>
      <c r="N24" s="2">
        <v>300</v>
      </c>
      <c r="O24" s="2">
        <v>300</v>
      </c>
      <c r="P24" s="2">
        <v>300</v>
      </c>
      <c r="Q24" s="2">
        <v>300</v>
      </c>
      <c r="R24" s="64">
        <f t="shared" si="1"/>
        <v>0</v>
      </c>
    </row>
    <row r="25" spans="1:18" ht="12.75">
      <c r="A25" t="s">
        <v>168</v>
      </c>
      <c r="B25" s="4">
        <v>53.172</v>
      </c>
      <c r="C25" s="2">
        <v>876</v>
      </c>
      <c r="D25" s="2">
        <v>369</v>
      </c>
      <c r="E25" s="2">
        <v>2192</v>
      </c>
      <c r="F25" s="2">
        <v>692</v>
      </c>
      <c r="G25" s="2">
        <v>113</v>
      </c>
      <c r="H25" s="2">
        <v>96</v>
      </c>
      <c r="I25" s="2">
        <v>539</v>
      </c>
      <c r="J25" s="2">
        <v>419</v>
      </c>
      <c r="K25" s="2"/>
      <c r="L25" s="2"/>
      <c r="M25" s="2">
        <f t="shared" si="0"/>
        <v>0</v>
      </c>
      <c r="N25" s="2"/>
      <c r="O25" s="2"/>
      <c r="P25" s="2"/>
      <c r="Q25" s="2"/>
      <c r="R25" s="64"/>
    </row>
    <row r="26" spans="1:18" ht="12.75">
      <c r="A26" t="s">
        <v>705</v>
      </c>
      <c r="B26" s="4">
        <v>53.175</v>
      </c>
      <c r="C26" s="2"/>
      <c r="D26" s="2"/>
      <c r="E26" s="2"/>
      <c r="F26" s="2"/>
      <c r="G26" s="2"/>
      <c r="H26" s="2"/>
      <c r="I26" s="2"/>
      <c r="J26" s="2"/>
      <c r="K26" s="2"/>
      <c r="L26" s="2">
        <v>12</v>
      </c>
      <c r="M26" s="2">
        <f t="shared" si="0"/>
        <v>24</v>
      </c>
      <c r="N26" s="2"/>
      <c r="O26" s="2"/>
      <c r="P26" s="2"/>
      <c r="Q26" s="2"/>
      <c r="R26" s="49"/>
    </row>
    <row r="27" spans="1:18" ht="12.75">
      <c r="A27" t="s">
        <v>706</v>
      </c>
      <c r="B27" s="4">
        <v>53.176</v>
      </c>
      <c r="C27" s="2"/>
      <c r="D27" s="2"/>
      <c r="E27" s="2"/>
      <c r="F27" s="2"/>
      <c r="G27" s="2"/>
      <c r="H27" s="2"/>
      <c r="I27" s="2"/>
      <c r="J27" s="2"/>
      <c r="K27" s="2"/>
      <c r="L27" s="2">
        <v>14</v>
      </c>
      <c r="M27" s="2">
        <f t="shared" si="0"/>
        <v>28</v>
      </c>
      <c r="N27" s="2"/>
      <c r="O27" s="2"/>
      <c r="P27" s="2"/>
      <c r="Q27" s="2"/>
      <c r="R27" s="49"/>
    </row>
    <row r="28" spans="1:18" ht="12.75">
      <c r="A28" t="s">
        <v>707</v>
      </c>
      <c r="B28" s="4">
        <v>53.179</v>
      </c>
      <c r="C28" s="2"/>
      <c r="D28" s="2"/>
      <c r="E28" s="2"/>
      <c r="F28" s="2"/>
      <c r="G28" s="2"/>
      <c r="H28" s="2"/>
      <c r="I28" s="2"/>
      <c r="J28" s="2"/>
      <c r="K28" s="2"/>
      <c r="L28" s="2">
        <v>444</v>
      </c>
      <c r="M28" s="2">
        <f t="shared" si="0"/>
        <v>888</v>
      </c>
      <c r="N28" s="2"/>
      <c r="O28" s="2"/>
      <c r="P28" s="2"/>
      <c r="Q28" s="2"/>
      <c r="R28" s="49"/>
    </row>
    <row r="29" spans="1:18" ht="12.75">
      <c r="A29" t="s">
        <v>472</v>
      </c>
      <c r="B29" s="4"/>
      <c r="C29" s="2"/>
      <c r="D29" s="2"/>
      <c r="E29" s="2">
        <v>1098</v>
      </c>
      <c r="F29" s="2"/>
      <c r="G29" s="2"/>
      <c r="H29" s="2"/>
      <c r="I29" s="2">
        <v>298</v>
      </c>
      <c r="J29" s="2"/>
      <c r="K29" s="2"/>
      <c r="L29" s="2"/>
      <c r="M29" s="2"/>
      <c r="N29" s="2"/>
      <c r="O29" s="2"/>
      <c r="P29" s="2"/>
      <c r="Q29" s="2"/>
      <c r="R29" s="64"/>
    </row>
    <row r="30" spans="1:18" ht="12.75">
      <c r="A30" t="s">
        <v>473</v>
      </c>
      <c r="B30" s="4"/>
      <c r="C30" s="2"/>
      <c r="D30" s="2"/>
      <c r="E30" s="2"/>
      <c r="F30" s="2"/>
      <c r="G30" s="2"/>
      <c r="H30" s="2"/>
      <c r="I30" s="2">
        <v>1191</v>
      </c>
      <c r="J30" s="2"/>
      <c r="K30" s="2"/>
      <c r="L30" s="2"/>
      <c r="M30" s="2"/>
      <c r="N30" s="2"/>
      <c r="O30" s="2"/>
      <c r="P30" s="2"/>
      <c r="Q30" s="2"/>
      <c r="R30" s="49"/>
    </row>
    <row r="31" spans="1:18" ht="12.75">
      <c r="A31" s="6" t="s">
        <v>23</v>
      </c>
      <c r="B31" s="12"/>
      <c r="C31" s="8">
        <f>SUM(C7:C29)</f>
        <v>73829</v>
      </c>
      <c r="D31" s="8">
        <f>SUM(D7:D29)</f>
        <v>78197</v>
      </c>
      <c r="E31" s="8">
        <f>SUM(E7:E30)</f>
        <v>85594</v>
      </c>
      <c r="F31" s="8">
        <f>SUM(F7:F30)</f>
        <v>81402</v>
      </c>
      <c r="G31" s="8">
        <f>SUM(G7:G30)</f>
        <v>83949</v>
      </c>
      <c r="H31" s="8">
        <f>SUM(H7:H30)</f>
        <v>86076</v>
      </c>
      <c r="I31" s="8">
        <f>SUM(I7:I30)</f>
        <v>91114</v>
      </c>
      <c r="J31" s="8">
        <v>89406</v>
      </c>
      <c r="K31" s="8">
        <f aca="true" t="shared" si="2" ref="K31:Q31">SUM(K7:K30)</f>
        <v>96664</v>
      </c>
      <c r="L31" s="8">
        <f t="shared" si="2"/>
        <v>44562</v>
      </c>
      <c r="M31" s="8">
        <f t="shared" si="2"/>
        <v>89674</v>
      </c>
      <c r="N31" s="8">
        <f t="shared" si="2"/>
        <v>95843.7620755</v>
      </c>
      <c r="O31" s="8">
        <f t="shared" si="2"/>
        <v>98780</v>
      </c>
      <c r="P31" s="8">
        <f t="shared" si="2"/>
        <v>97079.73851875</v>
      </c>
      <c r="Q31" s="8">
        <f t="shared" si="2"/>
        <v>92179.73851875</v>
      </c>
      <c r="R31" s="50">
        <f t="shared" si="1"/>
        <v>-0.03822912913063337</v>
      </c>
    </row>
    <row r="32" spans="3:18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9"/>
    </row>
    <row r="33" spans="3:18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1" t="s">
        <v>357</v>
      </c>
      <c r="O33" s="21"/>
      <c r="P33" s="53">
        <f>O31-P31</f>
        <v>1700.261481249996</v>
      </c>
      <c r="Q33" s="2"/>
      <c r="R33" s="49"/>
    </row>
    <row r="34" spans="14:18" ht="12.75">
      <c r="N34" s="21" t="s">
        <v>545</v>
      </c>
      <c r="O34" s="21"/>
      <c r="P34" s="53">
        <f>N31-P31</f>
        <v>-1235.9764432500087</v>
      </c>
      <c r="R34" s="49"/>
    </row>
    <row r="35" spans="14:18" ht="12.75">
      <c r="N35" s="21" t="s">
        <v>307</v>
      </c>
      <c r="O35" s="21"/>
      <c r="P35" s="53">
        <f>P31-Q31</f>
        <v>4900</v>
      </c>
      <c r="R35" s="49"/>
    </row>
    <row r="36" spans="1:18" ht="12.75">
      <c r="A36" s="36" t="s">
        <v>549</v>
      </c>
      <c r="R36" s="49"/>
    </row>
    <row r="37" spans="1:18" ht="12.75">
      <c r="A37" t="s">
        <v>421</v>
      </c>
      <c r="R37" s="49"/>
    </row>
    <row r="38" ht="12.75">
      <c r="R38" s="49"/>
    </row>
    <row r="39" ht="12.75">
      <c r="R39" s="49"/>
    </row>
    <row r="40" spans="1:18" s="21" customFormat="1" ht="12.75">
      <c r="A40" s="39" t="s">
        <v>28</v>
      </c>
      <c r="B40" s="40">
        <v>38.902</v>
      </c>
      <c r="C40" s="41">
        <v>14069</v>
      </c>
      <c r="D40" s="41">
        <v>12162</v>
      </c>
      <c r="E40" s="41">
        <v>8500</v>
      </c>
      <c r="F40" s="41"/>
      <c r="G40" s="41"/>
      <c r="H40" s="41"/>
      <c r="I40" s="41">
        <v>9293</v>
      </c>
      <c r="J40" s="41">
        <v>7687</v>
      </c>
      <c r="K40" s="41">
        <v>9064</v>
      </c>
      <c r="L40" s="42"/>
      <c r="M40" s="29"/>
      <c r="N40" s="41"/>
      <c r="P40" s="41"/>
      <c r="Q40" s="70"/>
      <c r="R40" s="41"/>
    </row>
    <row r="41" spans="1:18" s="21" customFormat="1" ht="12.75">
      <c r="A41" s="39" t="s">
        <v>221</v>
      </c>
      <c r="B41" s="40">
        <v>37.113</v>
      </c>
      <c r="C41" s="41">
        <v>1000</v>
      </c>
      <c r="D41" s="41">
        <v>5307</v>
      </c>
      <c r="E41" s="41">
        <v>700</v>
      </c>
      <c r="F41" s="41"/>
      <c r="G41" s="41"/>
      <c r="H41" s="41"/>
      <c r="I41" s="41"/>
      <c r="J41" s="41">
        <v>502</v>
      </c>
      <c r="K41" s="41">
        <v>1050</v>
      </c>
      <c r="L41" s="42"/>
      <c r="M41" s="29"/>
      <c r="O41" s="41"/>
      <c r="P41" s="41"/>
      <c r="Q41" s="70"/>
      <c r="R41" s="41"/>
    </row>
    <row r="42" spans="1:18" ht="12.75">
      <c r="A42" s="6" t="s">
        <v>773</v>
      </c>
      <c r="R42" s="49"/>
    </row>
    <row r="43" ht="12.75">
      <c r="R43" s="49"/>
    </row>
    <row r="44" ht="12.75">
      <c r="A44" t="s">
        <v>769</v>
      </c>
    </row>
    <row r="65" ht="12.75">
      <c r="R65" s="2"/>
    </row>
    <row r="66" ht="12.75">
      <c r="R66" s="2"/>
    </row>
    <row r="67" ht="12.75">
      <c r="R67" s="2"/>
    </row>
    <row r="68" ht="12.75">
      <c r="R68" s="2"/>
    </row>
    <row r="69" ht="12.75">
      <c r="R69" s="2"/>
    </row>
    <row r="70" ht="12.75">
      <c r="R70" s="2"/>
    </row>
  </sheetData>
  <printOptions gridLines="1"/>
  <pageMargins left="0.25" right="0.25" top="1" bottom="0.55" header="0.5" footer="0.25"/>
  <pageSetup fitToHeight="1" fitToWidth="1" horizontalDpi="300" verticalDpi="300" orientation="landscape" scale="80" r:id="rId1"/>
  <headerFooter alignWithMargins="0">
    <oddFooter>&amp;L&amp;F
&amp;A&amp;CPage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S79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8" width="11.7109375" style="0" hidden="1" customWidth="1"/>
    <col min="9" max="11" width="11.7109375" style="0" customWidth="1"/>
    <col min="12" max="12" width="13.28125" style="0" bestFit="1" customWidth="1"/>
    <col min="13" max="13" width="11.28125" style="0" customWidth="1"/>
    <col min="14" max="15" width="11.7109375" style="0" customWidth="1"/>
    <col min="16" max="16" width="10.7109375" style="0" bestFit="1" customWidth="1"/>
    <col min="17" max="17" width="9.574218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365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8" ht="12.75">
      <c r="A7" t="s">
        <v>491</v>
      </c>
      <c r="B7" s="4">
        <v>51.11</v>
      </c>
      <c r="C7" s="2">
        <v>32307</v>
      </c>
      <c r="D7" s="2">
        <v>32522</v>
      </c>
      <c r="E7" s="2">
        <v>35230</v>
      </c>
      <c r="F7" s="2">
        <v>38668</v>
      </c>
      <c r="G7" s="2">
        <v>38134</v>
      </c>
      <c r="H7" s="2">
        <v>41311</v>
      </c>
      <c r="I7" s="2">
        <v>41014</v>
      </c>
      <c r="J7" s="2">
        <v>42361</v>
      </c>
      <c r="K7" s="2">
        <v>44150</v>
      </c>
      <c r="L7" s="2">
        <v>22299</v>
      </c>
      <c r="M7" s="2">
        <f aca="true" t="shared" si="0" ref="M7:M32">+L7/$L$3*12</f>
        <v>44598</v>
      </c>
      <c r="N7" s="2">
        <v>43688.36</v>
      </c>
      <c r="O7" s="2">
        <v>47574</v>
      </c>
      <c r="P7" s="2">
        <v>47573.98099999999</v>
      </c>
      <c r="Q7" s="2">
        <v>47573.98099999999</v>
      </c>
      <c r="R7" s="64">
        <f>(Q7-N7)/N7</f>
        <v>0.0889395024212397</v>
      </c>
    </row>
    <row r="8" spans="1:19" ht="12.75">
      <c r="A8" t="s">
        <v>546</v>
      </c>
      <c r="B8" s="4"/>
      <c r="C8" s="2"/>
      <c r="D8" s="2"/>
      <c r="E8" s="2"/>
      <c r="F8" s="2"/>
      <c r="G8" s="2"/>
      <c r="H8" s="2"/>
      <c r="I8" s="2"/>
      <c r="J8" s="2"/>
      <c r="K8" s="2">
        <v>396</v>
      </c>
      <c r="L8" s="2">
        <v>376</v>
      </c>
      <c r="M8" s="2">
        <f t="shared" si="0"/>
        <v>752</v>
      </c>
      <c r="N8" s="2">
        <v>731</v>
      </c>
      <c r="O8" s="2">
        <v>793</v>
      </c>
      <c r="P8" s="2">
        <v>731</v>
      </c>
      <c r="Q8" s="2">
        <v>731</v>
      </c>
      <c r="R8" s="64"/>
      <c r="S8" t="s">
        <v>256</v>
      </c>
    </row>
    <row r="9" spans="1:19" ht="12.75">
      <c r="A9" t="s">
        <v>547</v>
      </c>
      <c r="B9" s="4"/>
      <c r="C9" s="2"/>
      <c r="D9" s="2"/>
      <c r="E9" s="2"/>
      <c r="F9" s="2"/>
      <c r="G9" s="2"/>
      <c r="H9" s="2"/>
      <c r="I9" s="2"/>
      <c r="J9" s="2"/>
      <c r="K9" s="2">
        <v>790</v>
      </c>
      <c r="L9" s="2">
        <v>750</v>
      </c>
      <c r="M9" s="2">
        <f t="shared" si="0"/>
        <v>1500</v>
      </c>
      <c r="N9" s="2">
        <v>1458</v>
      </c>
      <c r="O9" s="2">
        <v>1581</v>
      </c>
      <c r="P9" s="2">
        <v>1581</v>
      </c>
      <c r="Q9" s="2">
        <v>1581</v>
      </c>
      <c r="R9" s="64"/>
      <c r="S9" t="s">
        <v>256</v>
      </c>
    </row>
    <row r="10" spans="1:19" ht="12.75">
      <c r="A10" t="s">
        <v>360</v>
      </c>
      <c r="B10" s="4">
        <v>51.21</v>
      </c>
      <c r="C10" s="2">
        <v>4375</v>
      </c>
      <c r="D10" s="2">
        <v>5036</v>
      </c>
      <c r="E10" s="2">
        <v>6373</v>
      </c>
      <c r="F10" s="2">
        <v>5679</v>
      </c>
      <c r="G10" s="2">
        <v>6045</v>
      </c>
      <c r="H10" s="2">
        <v>6322</v>
      </c>
      <c r="I10" s="2">
        <v>6368</v>
      </c>
      <c r="J10" s="2">
        <v>6797</v>
      </c>
      <c r="K10" s="2">
        <v>8022</v>
      </c>
      <c r="L10" s="2">
        <v>4224</v>
      </c>
      <c r="M10" s="2">
        <f t="shared" si="0"/>
        <v>8448</v>
      </c>
      <c r="N10" s="29">
        <v>8831.4</v>
      </c>
      <c r="O10" s="29">
        <v>9600</v>
      </c>
      <c r="P10" s="29">
        <f>4800*2</f>
        <v>9600</v>
      </c>
      <c r="Q10" s="29">
        <f>4800*2</f>
        <v>9600</v>
      </c>
      <c r="R10" s="64">
        <f>(Q10-N10)/N10</f>
        <v>0.0870303689109315</v>
      </c>
      <c r="S10" t="s">
        <v>605</v>
      </c>
    </row>
    <row r="11" spans="1:18" ht="12.75">
      <c r="A11" t="s">
        <v>30</v>
      </c>
      <c r="B11" s="4">
        <v>51.22</v>
      </c>
      <c r="C11" s="2">
        <v>2471</v>
      </c>
      <c r="D11" s="2">
        <v>2487</v>
      </c>
      <c r="E11" s="2">
        <v>2712</v>
      </c>
      <c r="F11" s="2">
        <v>2958</v>
      </c>
      <c r="G11" s="2">
        <v>2919</v>
      </c>
      <c r="H11" s="2">
        <v>3160</v>
      </c>
      <c r="I11" s="2">
        <v>3111</v>
      </c>
      <c r="J11" s="2">
        <v>3213</v>
      </c>
      <c r="K11" s="2">
        <v>3357</v>
      </c>
      <c r="L11" s="2">
        <v>1696</v>
      </c>
      <c r="M11" s="2">
        <f t="shared" si="0"/>
        <v>3392</v>
      </c>
      <c r="N11" s="2">
        <v>3509.61804</v>
      </c>
      <c r="O11" s="2">
        <v>3807</v>
      </c>
      <c r="P11" s="2">
        <f>(P7+P8+P9)*0.0765</f>
        <v>3816.2775464999995</v>
      </c>
      <c r="Q11" s="2">
        <f>(Q7+Q8+Q9)*0.0765</f>
        <v>3816.2775464999995</v>
      </c>
      <c r="R11" s="64">
        <f>(Q11-N11)/N11</f>
        <v>0.08737688916711851</v>
      </c>
    </row>
    <row r="12" spans="1:18" ht="12.75">
      <c r="A12" t="s">
        <v>44</v>
      </c>
      <c r="B12" s="4">
        <v>51.24</v>
      </c>
      <c r="C12" s="2">
        <v>638</v>
      </c>
      <c r="D12" s="2">
        <v>690</v>
      </c>
      <c r="E12" s="2">
        <v>861</v>
      </c>
      <c r="F12" s="2">
        <v>908</v>
      </c>
      <c r="G12" s="2">
        <v>941</v>
      </c>
      <c r="H12" s="2">
        <v>918</v>
      </c>
      <c r="I12" s="2">
        <v>706</v>
      </c>
      <c r="J12" s="2">
        <v>832</v>
      </c>
      <c r="K12" s="2">
        <v>1037</v>
      </c>
      <c r="L12" s="2">
        <v>531</v>
      </c>
      <c r="M12" s="2">
        <f t="shared" si="0"/>
        <v>1062</v>
      </c>
      <c r="N12" s="2">
        <v>1200</v>
      </c>
      <c r="O12" s="2">
        <v>1100</v>
      </c>
      <c r="P12" s="2">
        <v>1100</v>
      </c>
      <c r="Q12" s="2">
        <v>1100</v>
      </c>
      <c r="R12" s="64">
        <f>(Q12-N12)/N12</f>
        <v>-0.08333333333333333</v>
      </c>
    </row>
    <row r="13" spans="2:18" ht="12.75">
      <c r="B13" s="4"/>
      <c r="C13" s="2"/>
      <c r="D13" s="2"/>
      <c r="E13" s="2"/>
      <c r="F13" s="2"/>
      <c r="G13" s="2"/>
      <c r="H13" s="2"/>
      <c r="I13" s="2">
        <v>136</v>
      </c>
      <c r="J13" s="2"/>
      <c r="K13" s="2"/>
      <c r="L13" s="2"/>
      <c r="M13" s="2"/>
      <c r="N13" s="2"/>
      <c r="O13" s="2"/>
      <c r="P13" s="2"/>
      <c r="Q13" s="2"/>
      <c r="R13" s="64"/>
    </row>
    <row r="14" spans="1:19" ht="12.75">
      <c r="A14" t="s">
        <v>550</v>
      </c>
      <c r="B14" s="4"/>
      <c r="C14" s="2"/>
      <c r="D14" s="2"/>
      <c r="E14" s="2"/>
      <c r="F14" s="2"/>
      <c r="G14" s="2"/>
      <c r="H14" s="2"/>
      <c r="I14" s="2"/>
      <c r="J14" s="2"/>
      <c r="K14" s="2">
        <v>936</v>
      </c>
      <c r="L14" s="2"/>
      <c r="M14" s="2">
        <v>600</v>
      </c>
      <c r="N14" s="2">
        <v>607</v>
      </c>
      <c r="O14" s="2">
        <v>657</v>
      </c>
      <c r="P14" s="2">
        <v>657</v>
      </c>
      <c r="Q14" s="2">
        <v>0</v>
      </c>
      <c r="R14" s="64"/>
      <c r="S14" t="s">
        <v>256</v>
      </c>
    </row>
    <row r="16" spans="1:18" ht="12.75">
      <c r="A16" t="s">
        <v>180</v>
      </c>
      <c r="B16" s="4">
        <v>52.126</v>
      </c>
      <c r="C16" s="2">
        <v>80</v>
      </c>
      <c r="D16" s="2" t="s">
        <v>27</v>
      </c>
      <c r="E16" s="2">
        <v>50</v>
      </c>
      <c r="F16" s="2"/>
      <c r="G16" s="2"/>
      <c r="H16" s="2"/>
      <c r="I16" s="2">
        <v>100</v>
      </c>
      <c r="J16" s="2"/>
      <c r="K16" s="2"/>
      <c r="L16" s="2"/>
      <c r="M16" s="2">
        <f t="shared" si="0"/>
        <v>0</v>
      </c>
      <c r="N16" s="2">
        <v>100</v>
      </c>
      <c r="O16" s="2">
        <v>100</v>
      </c>
      <c r="P16" s="2">
        <v>100</v>
      </c>
      <c r="Q16" s="2">
        <v>0</v>
      </c>
      <c r="R16" s="64"/>
    </row>
    <row r="17" spans="1:18" ht="12.75">
      <c r="A17" t="s">
        <v>155</v>
      </c>
      <c r="B17" s="4">
        <v>52.2206</v>
      </c>
      <c r="C17" s="2">
        <v>172</v>
      </c>
      <c r="D17" s="2">
        <v>785</v>
      </c>
      <c r="E17" s="2"/>
      <c r="F17" s="2">
        <v>6</v>
      </c>
      <c r="G17" s="2">
        <v>41</v>
      </c>
      <c r="H17" s="2">
        <v>6</v>
      </c>
      <c r="I17" s="2">
        <v>366</v>
      </c>
      <c r="J17" s="2">
        <v>45</v>
      </c>
      <c r="K17" s="2"/>
      <c r="L17" s="2">
        <v>95</v>
      </c>
      <c r="M17" s="2">
        <v>400</v>
      </c>
      <c r="N17" s="2">
        <v>400</v>
      </c>
      <c r="O17" s="2">
        <v>400</v>
      </c>
      <c r="P17" s="2">
        <v>400</v>
      </c>
      <c r="Q17" s="2">
        <v>400</v>
      </c>
      <c r="R17" s="64"/>
    </row>
    <row r="18" spans="1:18" ht="12.75" hidden="1">
      <c r="A18" t="s">
        <v>541</v>
      </c>
      <c r="B18" s="4">
        <v>52.2214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4"/>
    </row>
    <row r="19" spans="1:19" ht="12.75">
      <c r="A19" t="s">
        <v>552</v>
      </c>
      <c r="B19" s="4">
        <v>52.134</v>
      </c>
      <c r="C19" s="2"/>
      <c r="D19" s="2"/>
      <c r="E19" s="2"/>
      <c r="F19" s="2"/>
      <c r="G19" s="2"/>
      <c r="H19" s="2"/>
      <c r="I19" s="2"/>
      <c r="J19" s="2"/>
      <c r="K19" s="2">
        <v>4095</v>
      </c>
      <c r="L19" s="2"/>
      <c r="M19" s="2">
        <v>3300</v>
      </c>
      <c r="N19" s="2">
        <v>3341</v>
      </c>
      <c r="O19" s="2">
        <v>1509</v>
      </c>
      <c r="P19" s="2">
        <v>1509</v>
      </c>
      <c r="Q19" s="2">
        <v>1509</v>
      </c>
      <c r="R19" s="64"/>
      <c r="S19" t="s">
        <v>256</v>
      </c>
    </row>
    <row r="20" spans="1:19" ht="12.75">
      <c r="A20" t="s">
        <v>32</v>
      </c>
      <c r="B20" s="4">
        <v>52.32</v>
      </c>
      <c r="C20" s="2">
        <v>617</v>
      </c>
      <c r="D20" s="2">
        <v>716</v>
      </c>
      <c r="E20" s="2">
        <v>747</v>
      </c>
      <c r="F20" s="2">
        <v>881</v>
      </c>
      <c r="G20" s="2">
        <v>900</v>
      </c>
      <c r="H20" s="2">
        <v>1001</v>
      </c>
      <c r="I20" s="2">
        <v>984</v>
      </c>
      <c r="J20" s="2">
        <v>770</v>
      </c>
      <c r="K20" s="2">
        <v>688</v>
      </c>
      <c r="L20" s="2">
        <v>166</v>
      </c>
      <c r="M20" s="2">
        <f t="shared" si="0"/>
        <v>332</v>
      </c>
      <c r="N20" s="2">
        <v>900</v>
      </c>
      <c r="O20" s="2">
        <v>600</v>
      </c>
      <c r="P20" s="2">
        <v>600</v>
      </c>
      <c r="Q20" s="2">
        <v>300</v>
      </c>
      <c r="R20" s="64"/>
      <c r="S20" s="31"/>
    </row>
    <row r="21" spans="1:18" ht="12.75">
      <c r="A21" t="s">
        <v>54</v>
      </c>
      <c r="B21" s="4">
        <v>52.33</v>
      </c>
      <c r="C21" s="2">
        <v>20</v>
      </c>
      <c r="D21" s="2">
        <v>150</v>
      </c>
      <c r="E21" s="2"/>
      <c r="F21" s="2">
        <v>100</v>
      </c>
      <c r="G21" s="2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64"/>
    </row>
    <row r="22" spans="1:18" ht="12.75" hidden="1">
      <c r="A22" t="s">
        <v>34</v>
      </c>
      <c r="B22" s="4">
        <v>52.35</v>
      </c>
      <c r="C22" s="2">
        <v>44</v>
      </c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"/>
      <c r="O22" s="2"/>
      <c r="P22" s="2"/>
      <c r="Q22" s="2"/>
      <c r="R22" s="64"/>
    </row>
    <row r="23" spans="1:18" ht="12.75">
      <c r="A23" t="s">
        <v>33</v>
      </c>
      <c r="B23" s="4">
        <v>52.321</v>
      </c>
      <c r="K23">
        <v>41</v>
      </c>
      <c r="L23" s="2"/>
      <c r="M23" s="2"/>
      <c r="R23" s="64"/>
    </row>
    <row r="24" spans="1:19" ht="12.75">
      <c r="A24" t="s">
        <v>34</v>
      </c>
      <c r="B24" s="4">
        <v>52.35</v>
      </c>
      <c r="K24" s="2">
        <v>47</v>
      </c>
      <c r="L24" s="2">
        <v>310</v>
      </c>
      <c r="M24" s="2">
        <v>600</v>
      </c>
      <c r="O24" s="2">
        <v>1197</v>
      </c>
      <c r="P24" s="2">
        <v>1197</v>
      </c>
      <c r="Q24" s="2">
        <v>559</v>
      </c>
      <c r="R24" s="64"/>
      <c r="S24" t="s">
        <v>256</v>
      </c>
    </row>
    <row r="25" spans="2:18" ht="12.75">
      <c r="B25" s="4"/>
      <c r="K25" s="2"/>
      <c r="L25" s="2"/>
      <c r="M25" s="2"/>
      <c r="R25" s="64"/>
    </row>
    <row r="26" spans="1:18" ht="12.75">
      <c r="A26" t="s">
        <v>154</v>
      </c>
      <c r="B26" s="4">
        <v>53.171</v>
      </c>
      <c r="C26" s="2">
        <v>31</v>
      </c>
      <c r="D26" s="2">
        <v>72</v>
      </c>
      <c r="E26" s="2">
        <v>8</v>
      </c>
      <c r="F26" s="2">
        <v>42</v>
      </c>
      <c r="G26" s="2">
        <v>19</v>
      </c>
      <c r="H26" s="2"/>
      <c r="I26" s="2">
        <v>19</v>
      </c>
      <c r="J26" s="2"/>
      <c r="K26" s="2">
        <v>16</v>
      </c>
      <c r="L26" s="2">
        <v>16</v>
      </c>
      <c r="M26" s="2">
        <f t="shared" si="0"/>
        <v>32</v>
      </c>
      <c r="N26" s="2">
        <v>25</v>
      </c>
      <c r="O26" s="2">
        <v>25</v>
      </c>
      <c r="P26" s="2">
        <v>25</v>
      </c>
      <c r="Q26" s="2">
        <v>25</v>
      </c>
      <c r="R26" s="64">
        <f>(Q26-N26)/N26</f>
        <v>0</v>
      </c>
    </row>
    <row r="27" spans="1:18" ht="12.75">
      <c r="A27" t="s">
        <v>169</v>
      </c>
      <c r="B27" s="4">
        <v>53.175</v>
      </c>
      <c r="C27" s="2">
        <v>1374</v>
      </c>
      <c r="D27" s="2">
        <v>1736</v>
      </c>
      <c r="E27" s="2">
        <v>493</v>
      </c>
      <c r="F27" s="2">
        <v>811</v>
      </c>
      <c r="G27" s="2">
        <v>366</v>
      </c>
      <c r="H27" s="2">
        <v>273</v>
      </c>
      <c r="I27" s="2">
        <v>662</v>
      </c>
      <c r="J27" s="2">
        <v>144</v>
      </c>
      <c r="K27" s="2">
        <v>216</v>
      </c>
      <c r="L27" s="11">
        <v>55</v>
      </c>
      <c r="M27" s="2">
        <f t="shared" si="0"/>
        <v>110</v>
      </c>
      <c r="N27" s="2">
        <v>400</v>
      </c>
      <c r="O27" s="2">
        <v>400</v>
      </c>
      <c r="P27" s="2">
        <v>400</v>
      </c>
      <c r="Q27" s="2">
        <v>400</v>
      </c>
      <c r="R27" s="64">
        <f>(Q27-N27)/N27</f>
        <v>0</v>
      </c>
    </row>
    <row r="28" spans="1:18" ht="12.75">
      <c r="A28" t="s">
        <v>164</v>
      </c>
      <c r="B28" s="4">
        <v>53.176</v>
      </c>
      <c r="C28" s="2">
        <v>87</v>
      </c>
      <c r="D28" s="2">
        <v>170</v>
      </c>
      <c r="E28" s="2">
        <v>108</v>
      </c>
      <c r="F28" s="2">
        <v>88</v>
      </c>
      <c r="G28" s="2">
        <v>69</v>
      </c>
      <c r="H28" s="2">
        <v>97</v>
      </c>
      <c r="I28" s="2">
        <v>94</v>
      </c>
      <c r="J28" s="2">
        <v>107</v>
      </c>
      <c r="K28" s="2">
        <v>83</v>
      </c>
      <c r="L28" s="11">
        <v>20</v>
      </c>
      <c r="M28" s="2">
        <f t="shared" si="0"/>
        <v>40</v>
      </c>
      <c r="N28" s="2">
        <v>100</v>
      </c>
      <c r="O28" s="2">
        <v>100</v>
      </c>
      <c r="P28" s="2">
        <v>100</v>
      </c>
      <c r="Q28" s="2">
        <v>100</v>
      </c>
      <c r="R28" s="64">
        <f>(Q28-N28)/N28</f>
        <v>0</v>
      </c>
    </row>
    <row r="29" spans="1:18" ht="12.75">
      <c r="A29" t="s">
        <v>165</v>
      </c>
      <c r="B29" s="4">
        <v>53.177</v>
      </c>
      <c r="C29" s="2">
        <v>222</v>
      </c>
      <c r="D29" s="2">
        <v>494</v>
      </c>
      <c r="E29" s="2">
        <v>414</v>
      </c>
      <c r="F29" s="2">
        <v>618</v>
      </c>
      <c r="G29" s="2">
        <v>354</v>
      </c>
      <c r="H29" s="2">
        <v>364</v>
      </c>
      <c r="I29" s="2">
        <v>671</v>
      </c>
      <c r="J29" s="2">
        <v>367</v>
      </c>
      <c r="K29" s="2">
        <v>441</v>
      </c>
      <c r="L29" s="11">
        <v>481</v>
      </c>
      <c r="M29" s="2">
        <f t="shared" si="0"/>
        <v>962</v>
      </c>
      <c r="N29" s="20">
        <v>500</v>
      </c>
      <c r="O29" s="2">
        <v>500</v>
      </c>
      <c r="P29" s="20">
        <v>500</v>
      </c>
      <c r="Q29" s="20">
        <v>500</v>
      </c>
      <c r="R29" s="64">
        <f>(Q29-N29)/N29</f>
        <v>0</v>
      </c>
    </row>
    <row r="30" spans="1:18" ht="12.75">
      <c r="A30" t="s">
        <v>82</v>
      </c>
      <c r="B30" s="4">
        <v>53.178</v>
      </c>
      <c r="C30" s="2">
        <v>163</v>
      </c>
      <c r="D30" s="2"/>
      <c r="E30" s="2">
        <v>62</v>
      </c>
      <c r="J30" s="2">
        <v>90</v>
      </c>
      <c r="K30" s="2">
        <v>186</v>
      </c>
      <c r="L30" s="11"/>
      <c r="M30" s="2">
        <f t="shared" si="0"/>
        <v>0</v>
      </c>
      <c r="N30" s="20"/>
      <c r="O30" s="2"/>
      <c r="P30" s="20"/>
      <c r="Q30" s="20"/>
      <c r="R30" s="64"/>
    </row>
    <row r="31" spans="1:18" ht="12.75">
      <c r="A31" t="s">
        <v>70</v>
      </c>
      <c r="B31" s="4">
        <v>53.179</v>
      </c>
      <c r="C31" s="2">
        <v>2298</v>
      </c>
      <c r="D31" s="2">
        <v>3540</v>
      </c>
      <c r="E31" s="2">
        <v>3752</v>
      </c>
      <c r="F31" s="2">
        <v>2812</v>
      </c>
      <c r="G31" s="2">
        <v>3277</v>
      </c>
      <c r="H31" s="2">
        <v>4057</v>
      </c>
      <c r="I31" s="2">
        <v>5519</v>
      </c>
      <c r="J31" s="2">
        <v>6160</v>
      </c>
      <c r="K31" s="2">
        <v>5041</v>
      </c>
      <c r="L31" s="11">
        <v>2499</v>
      </c>
      <c r="M31" s="2">
        <f t="shared" si="0"/>
        <v>4998</v>
      </c>
      <c r="N31" s="20">
        <v>6000</v>
      </c>
      <c r="O31" s="2">
        <v>6000</v>
      </c>
      <c r="P31" s="20">
        <v>6000</v>
      </c>
      <c r="Q31" s="20">
        <v>4900</v>
      </c>
      <c r="R31" s="64">
        <f>(Q31-N31)/N31</f>
        <v>-0.18333333333333332</v>
      </c>
    </row>
    <row r="32" spans="1:18" ht="12.75" hidden="1">
      <c r="A32" t="s">
        <v>222</v>
      </c>
      <c r="B32" s="4"/>
      <c r="C32" s="2">
        <v>8</v>
      </c>
      <c r="D32" s="2"/>
      <c r="E32" s="2"/>
      <c r="F32" s="2"/>
      <c r="G32" s="2"/>
      <c r="H32" s="2"/>
      <c r="I32" s="2"/>
      <c r="J32" s="2"/>
      <c r="K32" s="2"/>
      <c r="L32" s="2"/>
      <c r="M32" s="2">
        <f t="shared" si="0"/>
        <v>0</v>
      </c>
      <c r="N32" s="2"/>
      <c r="O32" s="2"/>
      <c r="P32" s="2"/>
      <c r="Q32" s="2"/>
      <c r="R32" s="64"/>
    </row>
    <row r="33" spans="2:18" ht="12.75"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4"/>
    </row>
    <row r="34" spans="1:19" ht="12.75">
      <c r="A34" t="s">
        <v>282</v>
      </c>
      <c r="B34" s="4"/>
      <c r="C34" s="2"/>
      <c r="D34" s="2"/>
      <c r="E34" s="2"/>
      <c r="F34" s="2"/>
      <c r="G34" s="2">
        <v>4200</v>
      </c>
      <c r="H34" s="2"/>
      <c r="I34" s="2">
        <v>2800</v>
      </c>
      <c r="J34" s="2"/>
      <c r="K34" s="2"/>
      <c r="L34" s="2"/>
      <c r="M34" s="2"/>
      <c r="N34" s="2"/>
      <c r="O34" s="2"/>
      <c r="P34" s="2"/>
      <c r="Q34" s="2"/>
      <c r="R34" s="64"/>
      <c r="S34" t="s">
        <v>374</v>
      </c>
    </row>
    <row r="35" spans="2:18" ht="12.75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9"/>
    </row>
    <row r="36" spans="1:18" ht="12.75">
      <c r="A36" s="6" t="s">
        <v>23</v>
      </c>
      <c r="B36" s="6"/>
      <c r="C36" s="8">
        <f>SUM(C7:C32)</f>
        <v>44907</v>
      </c>
      <c r="D36" s="8">
        <f>SUM(D7:D32)</f>
        <v>48398</v>
      </c>
      <c r="E36" s="8">
        <f>SUM(E7:E33)</f>
        <v>50810</v>
      </c>
      <c r="F36" s="8">
        <f>SUM(F7:F35)</f>
        <v>53571</v>
      </c>
      <c r="G36" s="8">
        <f>SUM(G7:G35)</f>
        <v>57267</v>
      </c>
      <c r="H36" s="8">
        <f>SUM(H7:H35)</f>
        <v>57509</v>
      </c>
      <c r="I36" s="8">
        <f>SUM(I7:I35)</f>
        <v>62550</v>
      </c>
      <c r="J36" s="8">
        <v>60911</v>
      </c>
      <c r="K36" s="8">
        <f aca="true" t="shared" si="1" ref="K36:Q36">SUM(K7:K35)</f>
        <v>69542</v>
      </c>
      <c r="L36" s="8">
        <f t="shared" si="1"/>
        <v>33518</v>
      </c>
      <c r="M36" s="8">
        <f t="shared" si="1"/>
        <v>71126</v>
      </c>
      <c r="N36" s="8">
        <f t="shared" si="1"/>
        <v>71791.37804000001</v>
      </c>
      <c r="O36" s="8">
        <f t="shared" si="1"/>
        <v>75943</v>
      </c>
      <c r="P36" s="8">
        <f t="shared" si="1"/>
        <v>75890.2585465</v>
      </c>
      <c r="Q36" s="8">
        <f t="shared" si="1"/>
        <v>73095.2585465</v>
      </c>
      <c r="R36" s="50">
        <f>(Q36-N36)/N36</f>
        <v>0.01816207659049959</v>
      </c>
    </row>
    <row r="37" spans="3:18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9"/>
    </row>
    <row r="38" spans="3:18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1" t="s">
        <v>357</v>
      </c>
      <c r="O38" s="21"/>
      <c r="P38" s="53">
        <f>O36-P36</f>
        <v>52.7414534999989</v>
      </c>
      <c r="Q38" s="2"/>
      <c r="R38" s="49"/>
    </row>
    <row r="39" spans="14:18" ht="12.75">
      <c r="N39" s="21" t="s">
        <v>545</v>
      </c>
      <c r="O39" s="21"/>
      <c r="P39" s="53">
        <f>N36-P36</f>
        <v>-4098.880506499991</v>
      </c>
      <c r="R39" s="49"/>
    </row>
    <row r="40" spans="14:18" ht="12.75">
      <c r="N40" s="21" t="s">
        <v>307</v>
      </c>
      <c r="O40" s="21"/>
      <c r="P40" s="53">
        <f>P36-Q36</f>
        <v>2795</v>
      </c>
      <c r="R40" s="49"/>
    </row>
    <row r="41" spans="1:18" ht="12.75">
      <c r="A41" t="s">
        <v>434</v>
      </c>
      <c r="E41" s="75">
        <v>22000</v>
      </c>
      <c r="I41" s="41">
        <v>18631</v>
      </c>
      <c r="J41" s="41">
        <v>29422</v>
      </c>
      <c r="K41" s="41">
        <v>30850</v>
      </c>
      <c r="R41" s="49"/>
    </row>
    <row r="42" spans="1:18" ht="12.75">
      <c r="A42" t="s">
        <v>435</v>
      </c>
      <c r="E42" s="75">
        <v>2572</v>
      </c>
      <c r="I42" s="41">
        <v>2193</v>
      </c>
      <c r="J42" s="41">
        <v>1319</v>
      </c>
      <c r="K42" s="41">
        <v>2437</v>
      </c>
      <c r="R42" s="49"/>
    </row>
    <row r="43" spans="1:18" ht="12.75">
      <c r="A43" s="31"/>
      <c r="R43" s="49"/>
    </row>
    <row r="44" spans="1:18" ht="12.75">
      <c r="A44" s="36" t="s">
        <v>551</v>
      </c>
      <c r="R44" s="49"/>
    </row>
    <row r="45" spans="1:18" ht="12.75">
      <c r="A45" s="31" t="s">
        <v>570</v>
      </c>
      <c r="R45" s="49"/>
    </row>
    <row r="46" spans="1:18" ht="12.75">
      <c r="A46" s="6" t="s">
        <v>773</v>
      </c>
      <c r="R46" s="49"/>
    </row>
    <row r="47" spans="1:18" ht="12.75">
      <c r="A47" t="s">
        <v>769</v>
      </c>
      <c r="R47" s="49"/>
    </row>
    <row r="48" ht="12.75">
      <c r="R48" s="49"/>
    </row>
    <row r="49" ht="12.75">
      <c r="R49" s="49"/>
    </row>
    <row r="50" ht="12.75">
      <c r="R50" s="49"/>
    </row>
    <row r="51" ht="12.75">
      <c r="R51" s="49"/>
    </row>
    <row r="52" ht="12.75">
      <c r="R52" s="49"/>
    </row>
    <row r="74" ht="12.75">
      <c r="R74" s="2"/>
    </row>
    <row r="75" ht="12.75">
      <c r="R75" s="2"/>
    </row>
    <row r="76" ht="12.75">
      <c r="R76" s="2"/>
    </row>
    <row r="77" ht="12.75">
      <c r="R77" s="2"/>
    </row>
    <row r="78" ht="12.75">
      <c r="R78" s="2"/>
    </row>
    <row r="79" ht="12.75">
      <c r="R79" s="2"/>
    </row>
  </sheetData>
  <printOptions gridLines="1"/>
  <pageMargins left="0.25" right="0.25" top="1" bottom="0.55" header="0.5" footer="0.25"/>
  <pageSetup fitToHeight="1" fitToWidth="1" horizontalDpi="300" verticalDpi="300" orientation="landscape" scale="82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S88"/>
  <sheetViews>
    <sheetView zoomScale="75" zoomScaleNormal="75" workbookViewId="0" topLeftCell="A1">
      <pane ySplit="1365" topLeftCell="BM1" activePane="bottomLeft" state="split"/>
      <selection pane="topLeft" activeCell="O160" sqref="O160"/>
      <selection pane="bottomLeft"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57421875" style="0" hidden="1" customWidth="1"/>
    <col min="4" max="4" width="8.7109375" style="0" hidden="1" customWidth="1"/>
    <col min="5" max="8" width="11.7109375" style="0" hidden="1" customWidth="1"/>
    <col min="9" max="12" width="11.7109375" style="0" customWidth="1"/>
    <col min="13" max="13" width="13.421875" style="0" bestFit="1" customWidth="1"/>
    <col min="14" max="15" width="11.7109375" style="0" customWidth="1"/>
    <col min="16" max="17" width="12.0039062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349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/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9" ht="12.75">
      <c r="A7" t="s">
        <v>491</v>
      </c>
      <c r="B7" s="4">
        <v>51.11</v>
      </c>
      <c r="C7" s="2">
        <v>56442</v>
      </c>
      <c r="D7" s="2">
        <v>65564</v>
      </c>
      <c r="E7" s="2">
        <v>66886</v>
      </c>
      <c r="F7" s="2">
        <v>68436</v>
      </c>
      <c r="G7" s="2">
        <v>73146</v>
      </c>
      <c r="H7" s="2">
        <v>80979</v>
      </c>
      <c r="I7" s="2">
        <v>79830</v>
      </c>
      <c r="J7" s="2">
        <v>83759</v>
      </c>
      <c r="K7" s="2">
        <v>100666</v>
      </c>
      <c r="L7" s="2">
        <v>37215</v>
      </c>
      <c r="M7" s="2">
        <f aca="true" t="shared" si="0" ref="M7:M48">+L7/$L$3*12</f>
        <v>74430</v>
      </c>
      <c r="N7" s="2">
        <v>84963</v>
      </c>
      <c r="O7" s="2">
        <v>107019</v>
      </c>
      <c r="P7" s="2">
        <v>91679.73099999999</v>
      </c>
      <c r="Q7" s="2">
        <v>91679.73099999999</v>
      </c>
      <c r="R7" s="64">
        <f aca="true" t="shared" si="1" ref="R7:R12">(Q7-N7)/N7</f>
        <v>0.07905477678518867</v>
      </c>
      <c r="S7" t="s">
        <v>256</v>
      </c>
    </row>
    <row r="8" spans="1:18" ht="12.75">
      <c r="A8" t="s">
        <v>482</v>
      </c>
      <c r="B8" s="4">
        <v>51.1105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20925</v>
      </c>
      <c r="O8" s="2"/>
      <c r="P8" s="2">
        <v>20000</v>
      </c>
      <c r="Q8" s="2">
        <v>20000</v>
      </c>
      <c r="R8" s="64">
        <f t="shared" si="1"/>
        <v>-0.04420549581839905</v>
      </c>
    </row>
    <row r="9" spans="1:18" ht="12.75">
      <c r="A9" t="s">
        <v>43</v>
      </c>
      <c r="B9" s="4">
        <v>51.13</v>
      </c>
      <c r="C9" s="2">
        <v>4765</v>
      </c>
      <c r="D9" s="2">
        <v>4650</v>
      </c>
      <c r="E9" s="2">
        <v>6521</v>
      </c>
      <c r="F9" s="2">
        <v>3178</v>
      </c>
      <c r="G9" s="2">
        <v>3527</v>
      </c>
      <c r="H9" s="2">
        <v>1490</v>
      </c>
      <c r="I9" s="2">
        <v>4619</v>
      </c>
      <c r="J9" s="2">
        <v>1458</v>
      </c>
      <c r="K9" s="2">
        <v>574</v>
      </c>
      <c r="L9" s="2">
        <v>1154</v>
      </c>
      <c r="M9" s="2">
        <f t="shared" si="0"/>
        <v>2308</v>
      </c>
      <c r="N9" s="2">
        <v>1500</v>
      </c>
      <c r="O9" s="2">
        <v>1500</v>
      </c>
      <c r="P9" s="2">
        <v>500</v>
      </c>
      <c r="Q9" s="2">
        <v>500</v>
      </c>
      <c r="R9" s="64">
        <f t="shared" si="1"/>
        <v>-0.6666666666666666</v>
      </c>
    </row>
    <row r="10" spans="1:19" ht="12.75">
      <c r="A10" t="s">
        <v>360</v>
      </c>
      <c r="B10" s="4">
        <v>51.21</v>
      </c>
      <c r="C10" s="2">
        <v>4360</v>
      </c>
      <c r="D10" s="2">
        <v>4063</v>
      </c>
      <c r="E10" s="2">
        <v>9288</v>
      </c>
      <c r="F10" s="2">
        <v>7508</v>
      </c>
      <c r="G10" s="2">
        <v>9028</v>
      </c>
      <c r="H10" s="2">
        <v>7894</v>
      </c>
      <c r="I10" s="2">
        <v>7896</v>
      </c>
      <c r="J10" s="2">
        <v>9037</v>
      </c>
      <c r="K10" s="2">
        <v>12379</v>
      </c>
      <c r="L10" s="2">
        <v>5239</v>
      </c>
      <c r="M10" s="2">
        <f t="shared" si="0"/>
        <v>10478</v>
      </c>
      <c r="N10" s="29">
        <v>13563</v>
      </c>
      <c r="O10" s="29">
        <f>4800*4</f>
        <v>19200</v>
      </c>
      <c r="P10" s="29">
        <f>4800*3</f>
        <v>14400</v>
      </c>
      <c r="Q10" s="29">
        <f>4800*3</f>
        <v>14400</v>
      </c>
      <c r="R10" s="64">
        <f t="shared" si="1"/>
        <v>0.0617120106171201</v>
      </c>
      <c r="S10" t="s">
        <v>605</v>
      </c>
    </row>
    <row r="11" spans="1:18" ht="12.75">
      <c r="A11" t="s">
        <v>30</v>
      </c>
      <c r="B11" s="4">
        <v>51.22</v>
      </c>
      <c r="C11" s="2">
        <v>4682</v>
      </c>
      <c r="D11" s="2">
        <v>5371</v>
      </c>
      <c r="E11" s="2">
        <v>5615</v>
      </c>
      <c r="F11" s="2">
        <v>6825</v>
      </c>
      <c r="G11" s="2">
        <v>7992</v>
      </c>
      <c r="H11" s="2">
        <v>8150</v>
      </c>
      <c r="I11" s="2">
        <v>8134</v>
      </c>
      <c r="J11" s="2">
        <v>7761</v>
      </c>
      <c r="K11" s="2">
        <v>9415</v>
      </c>
      <c r="L11" s="2">
        <v>4042</v>
      </c>
      <c r="M11" s="2">
        <f t="shared" si="0"/>
        <v>8084</v>
      </c>
      <c r="N11" s="2">
        <v>10280.682</v>
      </c>
      <c r="O11" s="29">
        <f>(O7+O8+O9)*0.0765</f>
        <v>8301.7035</v>
      </c>
      <c r="P11" s="29">
        <f>(P7+P8+P9)*0.0765</f>
        <v>8581.749421499999</v>
      </c>
      <c r="Q11" s="29">
        <f>(Q7+Q8+Q9)*0.0765</f>
        <v>8581.749421499999</v>
      </c>
      <c r="R11" s="64">
        <f t="shared" si="1"/>
        <v>-0.16525485162365705</v>
      </c>
    </row>
    <row r="12" spans="1:18" ht="12.75">
      <c r="A12" t="s">
        <v>102</v>
      </c>
      <c r="B12" s="4">
        <v>51.24</v>
      </c>
      <c r="C12" s="2">
        <v>1475</v>
      </c>
      <c r="D12" s="2">
        <v>1173</v>
      </c>
      <c r="E12" s="2">
        <v>1001</v>
      </c>
      <c r="F12" s="2">
        <v>1037</v>
      </c>
      <c r="G12" s="2">
        <v>1195</v>
      </c>
      <c r="H12" s="2">
        <v>862</v>
      </c>
      <c r="I12" s="2">
        <v>362</v>
      </c>
      <c r="J12" s="2">
        <v>939</v>
      </c>
      <c r="K12" s="2">
        <v>782</v>
      </c>
      <c r="L12" s="2">
        <v>430</v>
      </c>
      <c r="M12" s="2">
        <f t="shared" si="0"/>
        <v>860</v>
      </c>
      <c r="N12" s="20">
        <v>1000</v>
      </c>
      <c r="O12" s="20">
        <v>2000</v>
      </c>
      <c r="P12" s="20">
        <v>2000</v>
      </c>
      <c r="Q12" s="20">
        <v>2000</v>
      </c>
      <c r="R12" s="64">
        <f t="shared" si="1"/>
        <v>1</v>
      </c>
    </row>
    <row r="13" spans="2:18" ht="12.75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  <c r="O13" s="13"/>
      <c r="P13" s="13"/>
      <c r="Q13" s="13"/>
      <c r="R13" s="64"/>
    </row>
    <row r="14" spans="1:18" ht="12.75" hidden="1">
      <c r="A14" t="s">
        <v>182</v>
      </c>
      <c r="B14" s="4">
        <v>52.1306</v>
      </c>
      <c r="C14" s="2"/>
      <c r="D14" s="2"/>
      <c r="E14" s="2">
        <v>120</v>
      </c>
      <c r="F14" s="2">
        <v>240</v>
      </c>
      <c r="G14" s="2">
        <v>60</v>
      </c>
      <c r="H14" s="2">
        <v>240</v>
      </c>
      <c r="I14" s="2"/>
      <c r="J14" s="2"/>
      <c r="K14" s="2"/>
      <c r="L14" s="2">
        <v>0</v>
      </c>
      <c r="M14" s="2">
        <f t="shared" si="0"/>
        <v>0</v>
      </c>
      <c r="N14" s="2"/>
      <c r="O14" s="2"/>
      <c r="P14" s="2"/>
      <c r="Q14" s="2"/>
      <c r="R14" s="64"/>
    </row>
    <row r="15" spans="1:18" ht="12.75" hidden="1">
      <c r="A15" t="s">
        <v>281</v>
      </c>
      <c r="B15" s="4">
        <v>52.21</v>
      </c>
      <c r="C15" s="2"/>
      <c r="D15" s="2"/>
      <c r="E15" s="2"/>
      <c r="F15" s="2">
        <v>400</v>
      </c>
      <c r="G15" s="2"/>
      <c r="H15" s="2"/>
      <c r="I15" s="2"/>
      <c r="J15" s="2"/>
      <c r="K15" s="2"/>
      <c r="L15" s="2">
        <v>0</v>
      </c>
      <c r="M15" s="2">
        <f t="shared" si="0"/>
        <v>0</v>
      </c>
      <c r="N15" s="2"/>
      <c r="O15" s="2"/>
      <c r="P15" s="2"/>
      <c r="Q15" s="2"/>
      <c r="R15" s="64"/>
    </row>
    <row r="16" spans="1:19" ht="12.75">
      <c r="A16" t="s">
        <v>87</v>
      </c>
      <c r="B16" s="4">
        <v>52.211</v>
      </c>
      <c r="C16" s="2"/>
      <c r="D16" s="2"/>
      <c r="E16" s="2">
        <v>1890</v>
      </c>
      <c r="F16" s="2">
        <v>1666</v>
      </c>
      <c r="G16" s="2">
        <v>1472</v>
      </c>
      <c r="H16" s="2">
        <v>1999</v>
      </c>
      <c r="I16" s="2">
        <v>2277</v>
      </c>
      <c r="J16" s="2">
        <v>1935</v>
      </c>
      <c r="K16" s="2">
        <v>3631</v>
      </c>
      <c r="L16" s="2">
        <v>1967</v>
      </c>
      <c r="M16" s="2">
        <f t="shared" si="0"/>
        <v>3934</v>
      </c>
      <c r="N16" s="20">
        <v>2500</v>
      </c>
      <c r="O16" s="20">
        <v>2500</v>
      </c>
      <c r="P16" s="20">
        <v>2500</v>
      </c>
      <c r="Q16" s="20">
        <v>2400</v>
      </c>
      <c r="R16" s="64">
        <f>(Q16-N16)/N16</f>
        <v>-0.04</v>
      </c>
      <c r="S16" s="2">
        <f>SUM(P7:P12)</f>
        <v>137161.4804215</v>
      </c>
    </row>
    <row r="17" spans="1:18" ht="12.75">
      <c r="A17" t="s">
        <v>183</v>
      </c>
      <c r="B17" s="4">
        <v>52.2205</v>
      </c>
      <c r="C17" s="2">
        <v>338</v>
      </c>
      <c r="D17" s="2">
        <v>540</v>
      </c>
      <c r="E17" s="2">
        <v>360</v>
      </c>
      <c r="F17" s="2">
        <v>119</v>
      </c>
      <c r="G17" s="2"/>
      <c r="H17" s="2">
        <v>95</v>
      </c>
      <c r="I17" s="2">
        <v>26</v>
      </c>
      <c r="J17" s="2"/>
      <c r="K17" s="2"/>
      <c r="L17" s="2">
        <v>0</v>
      </c>
      <c r="M17" s="2">
        <f t="shared" si="0"/>
        <v>0</v>
      </c>
      <c r="N17" s="20"/>
      <c r="O17" s="20"/>
      <c r="P17" s="20"/>
      <c r="Q17" s="20"/>
      <c r="R17" s="64"/>
    </row>
    <row r="18" spans="1:18" ht="12.75">
      <c r="A18" t="s">
        <v>184</v>
      </c>
      <c r="B18" s="4">
        <v>52.2206</v>
      </c>
      <c r="C18" s="2">
        <v>610</v>
      </c>
      <c r="D18" s="2">
        <v>482</v>
      </c>
      <c r="E18" s="2">
        <v>157</v>
      </c>
      <c r="F18" s="2">
        <v>144</v>
      </c>
      <c r="G18" s="2">
        <v>55</v>
      </c>
      <c r="H18" s="2">
        <v>95</v>
      </c>
      <c r="I18" s="2">
        <v>20</v>
      </c>
      <c r="J18" s="2"/>
      <c r="K18" s="2">
        <v>2653</v>
      </c>
      <c r="L18" s="2">
        <v>0</v>
      </c>
      <c r="M18" s="2">
        <f t="shared" si="0"/>
        <v>0</v>
      </c>
      <c r="N18" s="2"/>
      <c r="O18" s="2"/>
      <c r="P18" s="2"/>
      <c r="Q18" s="2"/>
      <c r="R18" s="64"/>
    </row>
    <row r="19" spans="1:18" ht="12.75">
      <c r="A19" t="s">
        <v>185</v>
      </c>
      <c r="B19" s="4">
        <v>52.3196</v>
      </c>
      <c r="C19" s="2">
        <v>3449</v>
      </c>
      <c r="D19" s="2">
        <v>2974</v>
      </c>
      <c r="E19" s="2">
        <v>1656</v>
      </c>
      <c r="F19" s="2">
        <v>2796</v>
      </c>
      <c r="G19" s="2">
        <v>3012</v>
      </c>
      <c r="H19" s="2">
        <v>3006</v>
      </c>
      <c r="I19" s="2">
        <v>3078</v>
      </c>
      <c r="J19" s="2">
        <v>2112</v>
      </c>
      <c r="K19" s="2">
        <v>2112</v>
      </c>
      <c r="L19" s="2">
        <v>438</v>
      </c>
      <c r="M19" s="2">
        <f t="shared" si="0"/>
        <v>876</v>
      </c>
      <c r="N19" s="2">
        <v>2500</v>
      </c>
      <c r="O19" s="2">
        <v>2500</v>
      </c>
      <c r="P19" s="2">
        <v>1000</v>
      </c>
      <c r="Q19" s="2">
        <v>1000</v>
      </c>
      <c r="R19" s="64">
        <f aca="true" t="shared" si="2" ref="R19:R24">(Q19-N19)/N19</f>
        <v>-0.6</v>
      </c>
    </row>
    <row r="20" spans="1:18" ht="12.75">
      <c r="A20" t="s">
        <v>32</v>
      </c>
      <c r="B20" s="4">
        <v>52.32</v>
      </c>
      <c r="C20" s="2">
        <v>1890</v>
      </c>
      <c r="D20" s="2">
        <v>1801</v>
      </c>
      <c r="E20" s="2">
        <v>2110</v>
      </c>
      <c r="F20" s="2">
        <v>1668</v>
      </c>
      <c r="G20" s="2">
        <v>1015</v>
      </c>
      <c r="H20" s="2">
        <v>1118</v>
      </c>
      <c r="I20" s="2">
        <v>1280</v>
      </c>
      <c r="J20" s="2">
        <v>2037</v>
      </c>
      <c r="K20" s="2">
        <v>2259</v>
      </c>
      <c r="L20" s="2">
        <v>1037</v>
      </c>
      <c r="M20" s="2">
        <f t="shared" si="0"/>
        <v>2074</v>
      </c>
      <c r="N20" s="2">
        <v>1800</v>
      </c>
      <c r="O20" s="2">
        <v>1800</v>
      </c>
      <c r="P20" s="2">
        <v>1800</v>
      </c>
      <c r="Q20" s="2">
        <v>1800</v>
      </c>
      <c r="R20" s="64">
        <f t="shared" si="2"/>
        <v>0</v>
      </c>
    </row>
    <row r="21" spans="1:18" ht="12.75">
      <c r="A21" t="s">
        <v>33</v>
      </c>
      <c r="B21" s="4">
        <v>52.321</v>
      </c>
      <c r="C21" s="2">
        <v>236</v>
      </c>
      <c r="D21" s="2">
        <v>199</v>
      </c>
      <c r="E21" s="2">
        <v>206</v>
      </c>
      <c r="F21" s="2">
        <v>209</v>
      </c>
      <c r="G21" s="2">
        <v>180</v>
      </c>
      <c r="H21" s="2">
        <v>111</v>
      </c>
      <c r="I21" s="2">
        <v>74</v>
      </c>
      <c r="J21" s="2">
        <v>154</v>
      </c>
      <c r="K21" s="2">
        <v>41</v>
      </c>
      <c r="L21" s="2">
        <v>0</v>
      </c>
      <c r="M21" s="2">
        <f t="shared" si="0"/>
        <v>0</v>
      </c>
      <c r="N21" s="2">
        <v>200</v>
      </c>
      <c r="O21" s="2">
        <v>200</v>
      </c>
      <c r="P21" s="2">
        <v>150</v>
      </c>
      <c r="Q21" s="2">
        <v>100</v>
      </c>
      <c r="R21" s="64">
        <f t="shared" si="2"/>
        <v>-0.5</v>
      </c>
    </row>
    <row r="22" spans="1:19" ht="12.75">
      <c r="A22" t="s">
        <v>45</v>
      </c>
      <c r="B22" s="4">
        <v>52.35</v>
      </c>
      <c r="C22" s="2">
        <v>285</v>
      </c>
      <c r="D22" s="2">
        <v>245</v>
      </c>
      <c r="E22" s="2">
        <v>746</v>
      </c>
      <c r="F22" s="2">
        <v>744</v>
      </c>
      <c r="G22" s="2">
        <v>590</v>
      </c>
      <c r="H22" s="2">
        <v>603</v>
      </c>
      <c r="I22" s="2">
        <v>788</v>
      </c>
      <c r="J22" s="2">
        <v>821</v>
      </c>
      <c r="K22" s="2">
        <v>362</v>
      </c>
      <c r="L22" s="2">
        <v>540</v>
      </c>
      <c r="M22" s="2">
        <f t="shared" si="0"/>
        <v>1080</v>
      </c>
      <c r="N22" s="2">
        <v>500</v>
      </c>
      <c r="O22" s="2">
        <v>500</v>
      </c>
      <c r="P22" s="2">
        <v>500</v>
      </c>
      <c r="Q22" s="2">
        <v>500</v>
      </c>
      <c r="R22" s="64">
        <f t="shared" si="2"/>
        <v>0</v>
      </c>
      <c r="S22" t="s">
        <v>483</v>
      </c>
    </row>
    <row r="23" spans="1:19" ht="12.75">
      <c r="A23" t="s">
        <v>35</v>
      </c>
      <c r="B23" s="4">
        <v>52.36</v>
      </c>
      <c r="C23" s="2">
        <v>775</v>
      </c>
      <c r="D23" s="2">
        <v>1010</v>
      </c>
      <c r="E23" s="2">
        <v>1525</v>
      </c>
      <c r="F23" s="2">
        <v>1350</v>
      </c>
      <c r="G23" s="2">
        <v>1685</v>
      </c>
      <c r="H23" s="2">
        <v>1795</v>
      </c>
      <c r="I23" s="2">
        <v>2433</v>
      </c>
      <c r="J23" s="2">
        <v>1855</v>
      </c>
      <c r="K23" s="2">
        <v>1320</v>
      </c>
      <c r="L23" s="2">
        <v>890</v>
      </c>
      <c r="M23" s="2">
        <f t="shared" si="0"/>
        <v>1780</v>
      </c>
      <c r="N23" s="2">
        <v>1800</v>
      </c>
      <c r="O23" s="2">
        <v>1800</v>
      </c>
      <c r="P23" s="2">
        <v>1800</v>
      </c>
      <c r="Q23" s="2">
        <v>1500</v>
      </c>
      <c r="R23" s="64">
        <f t="shared" si="2"/>
        <v>-0.16666666666666666</v>
      </c>
      <c r="S23" t="s">
        <v>428</v>
      </c>
    </row>
    <row r="24" spans="1:19" ht="12.75">
      <c r="A24" t="s">
        <v>443</v>
      </c>
      <c r="B24" s="4">
        <v>52.3702</v>
      </c>
      <c r="C24" s="2"/>
      <c r="D24" s="2"/>
      <c r="E24" s="2"/>
      <c r="F24" s="2"/>
      <c r="G24" s="2"/>
      <c r="H24" s="2">
        <v>1485</v>
      </c>
      <c r="I24" s="2"/>
      <c r="J24" s="2">
        <v>1223</v>
      </c>
      <c r="K24" s="2">
        <v>650</v>
      </c>
      <c r="L24" s="2">
        <v>0</v>
      </c>
      <c r="M24" s="2">
        <v>1500</v>
      </c>
      <c r="N24" s="2">
        <v>1500</v>
      </c>
      <c r="O24" s="2">
        <v>1500</v>
      </c>
      <c r="P24" s="2">
        <v>1500</v>
      </c>
      <c r="Q24" s="2">
        <v>1500</v>
      </c>
      <c r="R24" s="64">
        <f t="shared" si="2"/>
        <v>0</v>
      </c>
      <c r="S24" t="s">
        <v>620</v>
      </c>
    </row>
    <row r="25" spans="1:19" ht="12.75">
      <c r="A25" t="s">
        <v>46</v>
      </c>
      <c r="B25" s="4">
        <v>52.37</v>
      </c>
      <c r="C25" s="2"/>
      <c r="D25" s="2"/>
      <c r="E25" s="2"/>
      <c r="F25" s="2">
        <v>99</v>
      </c>
      <c r="G25" s="2">
        <v>156</v>
      </c>
      <c r="H25" s="2"/>
      <c r="I25" s="2"/>
      <c r="J25" s="2"/>
      <c r="K25" s="2">
        <v>245</v>
      </c>
      <c r="L25" s="2">
        <v>0</v>
      </c>
      <c r="M25" s="2">
        <v>250</v>
      </c>
      <c r="N25" s="2">
        <v>250</v>
      </c>
      <c r="O25" s="2">
        <v>250</v>
      </c>
      <c r="P25" s="2">
        <v>250</v>
      </c>
      <c r="Q25" s="2">
        <v>0</v>
      </c>
      <c r="R25" s="64"/>
      <c r="S25" s="10"/>
    </row>
    <row r="26" spans="1:19" ht="12.75">
      <c r="A26" t="s">
        <v>400</v>
      </c>
      <c r="B26" s="4">
        <v>52.3851</v>
      </c>
      <c r="C26" s="2"/>
      <c r="D26" s="2"/>
      <c r="E26" s="2"/>
      <c r="F26" s="2"/>
      <c r="G26" s="2"/>
      <c r="H26" s="2">
        <v>615</v>
      </c>
      <c r="I26" s="2">
        <v>975</v>
      </c>
      <c r="J26" s="2">
        <v>1174</v>
      </c>
      <c r="K26" s="2">
        <v>500</v>
      </c>
      <c r="L26" s="2">
        <v>0</v>
      </c>
      <c r="M26" s="2">
        <v>1000</v>
      </c>
      <c r="N26" s="2">
        <v>1000</v>
      </c>
      <c r="O26" s="2">
        <v>300</v>
      </c>
      <c r="P26" s="2">
        <v>300</v>
      </c>
      <c r="Q26" s="2">
        <v>300</v>
      </c>
      <c r="R26" s="64"/>
      <c r="S26" s="10"/>
    </row>
    <row r="27" spans="1:19" ht="12.75">
      <c r="A27" t="s">
        <v>186</v>
      </c>
      <c r="B27" s="4">
        <v>52.386</v>
      </c>
      <c r="C27" s="2">
        <v>8404</v>
      </c>
      <c r="D27" s="2">
        <v>8252</v>
      </c>
      <c r="E27" s="2">
        <v>14122</v>
      </c>
      <c r="F27" s="2">
        <v>23531</v>
      </c>
      <c r="G27" s="2">
        <v>27945</v>
      </c>
      <c r="H27" s="2">
        <v>30045</v>
      </c>
      <c r="I27" s="2">
        <v>31042</v>
      </c>
      <c r="J27" s="2">
        <v>25674</v>
      </c>
      <c r="K27" s="2">
        <v>30297</v>
      </c>
      <c r="L27" s="2">
        <v>19852</v>
      </c>
      <c r="M27" s="2">
        <v>27000</v>
      </c>
      <c r="N27" s="2">
        <v>27000</v>
      </c>
      <c r="O27" s="2">
        <v>27000</v>
      </c>
      <c r="P27" s="2">
        <v>27000</v>
      </c>
      <c r="Q27" s="2">
        <v>23300</v>
      </c>
      <c r="R27" s="64">
        <f>(Q27-N27)/N27</f>
        <v>-0.13703703703703704</v>
      </c>
      <c r="S27" t="s">
        <v>542</v>
      </c>
    </row>
    <row r="28" spans="13:18" ht="12.75">
      <c r="M28" s="2"/>
      <c r="R28" s="64"/>
    </row>
    <row r="29" spans="1:18" ht="12.75">
      <c r="A29" t="s">
        <v>39</v>
      </c>
      <c r="B29" s="4">
        <v>53.12</v>
      </c>
      <c r="C29" s="2">
        <v>23234</v>
      </c>
      <c r="D29" s="2">
        <v>27139</v>
      </c>
      <c r="E29" s="2">
        <v>21920</v>
      </c>
      <c r="F29" s="2">
        <v>20332</v>
      </c>
      <c r="G29" s="2">
        <v>22674</v>
      </c>
      <c r="H29" s="2">
        <v>19984</v>
      </c>
      <c r="I29" s="2">
        <f>21345+2056</f>
        <v>23401</v>
      </c>
      <c r="J29" s="2">
        <v>28344</v>
      </c>
      <c r="K29" s="2">
        <v>41348</v>
      </c>
      <c r="L29" s="2">
        <v>20485</v>
      </c>
      <c r="M29" s="2">
        <f t="shared" si="0"/>
        <v>40970</v>
      </c>
      <c r="N29" s="2">
        <v>50000</v>
      </c>
      <c r="O29" s="2">
        <v>50000</v>
      </c>
      <c r="P29" s="2">
        <v>42000</v>
      </c>
      <c r="Q29" s="2">
        <v>42000</v>
      </c>
      <c r="R29" s="64">
        <f>(Q29-N29)/N29</f>
        <v>-0.16</v>
      </c>
    </row>
    <row r="30" spans="1:19" ht="12.75">
      <c r="A30" t="s">
        <v>187</v>
      </c>
      <c r="B30" s="4">
        <v>53.132</v>
      </c>
      <c r="C30" s="2">
        <v>3113</v>
      </c>
      <c r="D30" s="2">
        <v>6803</v>
      </c>
      <c r="E30" s="2">
        <v>7360</v>
      </c>
      <c r="F30" s="2">
        <v>8843</v>
      </c>
      <c r="G30" s="2">
        <v>9983</v>
      </c>
      <c r="H30" s="2">
        <v>3996</v>
      </c>
      <c r="I30" s="2">
        <f>6027+436</f>
        <v>6463</v>
      </c>
      <c r="J30" s="2">
        <v>6248</v>
      </c>
      <c r="K30" s="2">
        <v>9013</v>
      </c>
      <c r="L30" s="2">
        <v>3228</v>
      </c>
      <c r="M30" s="2">
        <f t="shared" si="0"/>
        <v>6456</v>
      </c>
      <c r="N30" s="2">
        <v>7000</v>
      </c>
      <c r="O30" s="2">
        <v>7000</v>
      </c>
      <c r="P30" s="2">
        <v>7000</v>
      </c>
      <c r="Q30" s="2">
        <v>6000</v>
      </c>
      <c r="R30" s="64">
        <f>(Q30-N30)/N30</f>
        <v>-0.14285714285714285</v>
      </c>
      <c r="S30" t="s">
        <v>429</v>
      </c>
    </row>
    <row r="31" spans="1:18" ht="12.75">
      <c r="A31" t="s">
        <v>91</v>
      </c>
      <c r="B31" s="4">
        <v>53.1702</v>
      </c>
      <c r="C31" s="2">
        <v>577</v>
      </c>
      <c r="D31" s="2">
        <v>467</v>
      </c>
      <c r="E31" s="2">
        <v>1231</v>
      </c>
      <c r="F31" s="2">
        <v>1100</v>
      </c>
      <c r="G31" s="2">
        <v>1068</v>
      </c>
      <c r="H31" s="2">
        <v>721</v>
      </c>
      <c r="I31" s="2">
        <v>296</v>
      </c>
      <c r="J31" s="2">
        <v>585</v>
      </c>
      <c r="K31" s="2">
        <v>194</v>
      </c>
      <c r="L31" s="2">
        <v>0</v>
      </c>
      <c r="M31" s="2">
        <v>1500</v>
      </c>
      <c r="N31" s="2">
        <v>1500</v>
      </c>
      <c r="O31" s="2">
        <v>750</v>
      </c>
      <c r="P31" s="2">
        <v>600</v>
      </c>
      <c r="Q31" s="2">
        <v>500</v>
      </c>
      <c r="R31" s="64">
        <f>(Q31-N31)/N31</f>
        <v>-0.6666666666666666</v>
      </c>
    </row>
    <row r="32" spans="1:19" ht="12.75">
      <c r="A32" t="s">
        <v>188</v>
      </c>
      <c r="B32" s="4">
        <v>53.1707</v>
      </c>
      <c r="C32" s="2">
        <v>14332</v>
      </c>
      <c r="D32" s="2">
        <v>23324</v>
      </c>
      <c r="E32" s="2">
        <v>18418</v>
      </c>
      <c r="F32" s="2">
        <v>19406</v>
      </c>
      <c r="G32" s="2">
        <v>19507</v>
      </c>
      <c r="H32" s="2">
        <v>24240</v>
      </c>
      <c r="I32" s="2">
        <f>28568+1460</f>
        <v>30028</v>
      </c>
      <c r="J32" s="2">
        <v>24022</v>
      </c>
      <c r="K32" s="2">
        <f>19303+4298</f>
        <v>23601</v>
      </c>
      <c r="L32" s="2">
        <v>3694</v>
      </c>
      <c r="M32" s="2">
        <f t="shared" si="0"/>
        <v>7388</v>
      </c>
      <c r="N32" s="2">
        <v>12000</v>
      </c>
      <c r="O32" s="2">
        <v>12000</v>
      </c>
      <c r="P32" s="2">
        <v>10000</v>
      </c>
      <c r="Q32" s="2">
        <v>10000</v>
      </c>
      <c r="R32" s="64">
        <f>(Q32-N32)/N32</f>
        <v>-0.16666666666666666</v>
      </c>
      <c r="S32" t="s">
        <v>375</v>
      </c>
    </row>
    <row r="33" spans="1:19" ht="12.75">
      <c r="A33" t="s">
        <v>189</v>
      </c>
      <c r="B33" s="4">
        <v>53.1708</v>
      </c>
      <c r="C33" s="2">
        <v>2487</v>
      </c>
      <c r="D33" s="2">
        <v>4131</v>
      </c>
      <c r="E33" s="2">
        <v>3442</v>
      </c>
      <c r="F33" s="2">
        <v>3805</v>
      </c>
      <c r="G33" s="2">
        <v>3095</v>
      </c>
      <c r="H33" s="2">
        <v>3347</v>
      </c>
      <c r="I33" s="2">
        <v>1911</v>
      </c>
      <c r="J33" s="2">
        <v>3435</v>
      </c>
      <c r="K33" s="2">
        <v>2872</v>
      </c>
      <c r="L33" s="2">
        <v>3972</v>
      </c>
      <c r="M33" s="2">
        <v>4000</v>
      </c>
      <c r="N33" s="2">
        <v>3100</v>
      </c>
      <c r="O33" s="2">
        <v>4000</v>
      </c>
      <c r="P33" s="2">
        <v>3500</v>
      </c>
      <c r="Q33" s="2">
        <v>3500</v>
      </c>
      <c r="R33" s="64">
        <f>(Q33-N33)/N33</f>
        <v>0.12903225806451613</v>
      </c>
      <c r="S33" t="s">
        <v>375</v>
      </c>
    </row>
    <row r="34" spans="1:18" ht="12.75">
      <c r="A34" t="s">
        <v>190</v>
      </c>
      <c r="B34" s="4">
        <v>53.1709</v>
      </c>
      <c r="C34" s="2">
        <v>1366</v>
      </c>
      <c r="D34" s="2">
        <v>1479</v>
      </c>
      <c r="E34" s="2">
        <v>1321</v>
      </c>
      <c r="F34" s="2">
        <v>2177</v>
      </c>
      <c r="G34" s="2"/>
      <c r="H34" s="2">
        <v>331</v>
      </c>
      <c r="I34" s="2"/>
      <c r="J34" s="2"/>
      <c r="K34" s="2"/>
      <c r="L34" s="2">
        <v>0</v>
      </c>
      <c r="M34" s="2">
        <f t="shared" si="0"/>
        <v>0</v>
      </c>
      <c r="N34" s="2"/>
      <c r="O34" s="2"/>
      <c r="P34" s="2"/>
      <c r="Q34" s="2"/>
      <c r="R34" s="64"/>
    </row>
    <row r="35" spans="1:18" ht="12.75">
      <c r="A35" t="s">
        <v>40</v>
      </c>
      <c r="B35" s="4">
        <v>53.171</v>
      </c>
      <c r="C35" s="2">
        <v>722</v>
      </c>
      <c r="D35" s="2">
        <v>585</v>
      </c>
      <c r="E35" s="2">
        <v>842</v>
      </c>
      <c r="F35" s="2">
        <v>850</v>
      </c>
      <c r="G35" s="2">
        <v>665</v>
      </c>
      <c r="H35" s="2">
        <v>944</v>
      </c>
      <c r="I35" s="2">
        <v>1100</v>
      </c>
      <c r="J35" s="2">
        <v>551</v>
      </c>
      <c r="K35" s="2">
        <v>522</v>
      </c>
      <c r="L35" s="2">
        <v>202</v>
      </c>
      <c r="M35" s="2">
        <f t="shared" si="0"/>
        <v>404</v>
      </c>
      <c r="N35" s="2">
        <v>600</v>
      </c>
      <c r="O35" s="2">
        <v>600</v>
      </c>
      <c r="P35" s="2">
        <v>500</v>
      </c>
      <c r="Q35" s="2">
        <v>500</v>
      </c>
      <c r="R35" s="64">
        <f aca="true" t="shared" si="3" ref="R35:R44">(Q35-N35)/N35</f>
        <v>-0.16666666666666666</v>
      </c>
    </row>
    <row r="36" spans="1:18" ht="12.75">
      <c r="A36" t="s">
        <v>191</v>
      </c>
      <c r="B36" s="4">
        <v>53.1712</v>
      </c>
      <c r="C36" s="2">
        <v>416</v>
      </c>
      <c r="D36" s="2">
        <v>659</v>
      </c>
      <c r="E36" s="2">
        <v>593</v>
      </c>
      <c r="F36" s="2">
        <v>829</v>
      </c>
      <c r="G36" s="2">
        <v>150</v>
      </c>
      <c r="H36" s="2">
        <v>315</v>
      </c>
      <c r="I36" s="2">
        <v>727</v>
      </c>
      <c r="J36" s="2">
        <v>740</v>
      </c>
      <c r="K36" s="2">
        <v>92</v>
      </c>
      <c r="L36" s="2">
        <v>179</v>
      </c>
      <c r="M36" s="2">
        <f t="shared" si="0"/>
        <v>358</v>
      </c>
      <c r="N36" s="2">
        <v>750</v>
      </c>
      <c r="O36" s="2">
        <v>750</v>
      </c>
      <c r="P36" s="2">
        <v>750</v>
      </c>
      <c r="Q36" s="2">
        <v>300</v>
      </c>
      <c r="R36" s="64">
        <f t="shared" si="3"/>
        <v>-0.6</v>
      </c>
    </row>
    <row r="37" spans="1:18" ht="12.75">
      <c r="A37" t="s">
        <v>192</v>
      </c>
      <c r="B37" s="4">
        <v>53.1713</v>
      </c>
      <c r="C37" s="2">
        <v>1819</v>
      </c>
      <c r="D37" s="2">
        <v>1959</v>
      </c>
      <c r="E37" s="2">
        <v>1603</v>
      </c>
      <c r="F37" s="2">
        <v>1915</v>
      </c>
      <c r="G37" s="2">
        <v>2216</v>
      </c>
      <c r="H37" s="2">
        <v>2001</v>
      </c>
      <c r="I37" s="2">
        <v>820</v>
      </c>
      <c r="J37" s="2">
        <v>216</v>
      </c>
      <c r="K37" s="2">
        <v>474</v>
      </c>
      <c r="L37" s="2">
        <v>0</v>
      </c>
      <c r="M37" s="2">
        <v>400</v>
      </c>
      <c r="N37" s="2">
        <v>400</v>
      </c>
      <c r="O37" s="2">
        <v>400</v>
      </c>
      <c r="P37" s="2">
        <v>400</v>
      </c>
      <c r="Q37" s="2">
        <v>400</v>
      </c>
      <c r="R37" s="64">
        <f t="shared" si="3"/>
        <v>0</v>
      </c>
    </row>
    <row r="38" spans="1:19" ht="12.75">
      <c r="A38" t="s">
        <v>193</v>
      </c>
      <c r="B38" s="4">
        <v>53.1714</v>
      </c>
      <c r="C38" s="2">
        <v>417</v>
      </c>
      <c r="D38" s="2">
        <v>495</v>
      </c>
      <c r="E38" s="2">
        <v>880</v>
      </c>
      <c r="F38" s="2">
        <v>441</v>
      </c>
      <c r="G38" s="2">
        <v>500</v>
      </c>
      <c r="H38" s="2">
        <v>691</v>
      </c>
      <c r="I38" s="2">
        <v>693</v>
      </c>
      <c r="J38" s="2">
        <v>199</v>
      </c>
      <c r="K38" s="2">
        <v>423</v>
      </c>
      <c r="L38" s="2">
        <v>0</v>
      </c>
      <c r="M38" s="2">
        <v>500</v>
      </c>
      <c r="N38" s="2">
        <v>500</v>
      </c>
      <c r="O38" s="2">
        <v>500</v>
      </c>
      <c r="P38" s="2">
        <v>500</v>
      </c>
      <c r="Q38" s="2">
        <v>500</v>
      </c>
      <c r="R38" s="64">
        <f t="shared" si="3"/>
        <v>0</v>
      </c>
      <c r="S38" t="s">
        <v>620</v>
      </c>
    </row>
    <row r="39" spans="1:19" ht="12.75">
      <c r="A39" t="s">
        <v>283</v>
      </c>
      <c r="B39" s="4">
        <v>53.1718</v>
      </c>
      <c r="C39" s="2"/>
      <c r="D39" s="2"/>
      <c r="E39" s="2"/>
      <c r="F39" s="2"/>
      <c r="G39" s="2">
        <v>958</v>
      </c>
      <c r="H39" s="2">
        <v>925</v>
      </c>
      <c r="I39" s="2">
        <v>969</v>
      </c>
      <c r="J39" s="2">
        <v>710</v>
      </c>
      <c r="K39" s="2">
        <v>648</v>
      </c>
      <c r="L39" s="2">
        <v>498</v>
      </c>
      <c r="M39" s="2">
        <f t="shared" si="0"/>
        <v>996</v>
      </c>
      <c r="N39" s="2">
        <v>1000</v>
      </c>
      <c r="O39" s="2">
        <v>1000</v>
      </c>
      <c r="P39" s="2">
        <v>1000</v>
      </c>
      <c r="Q39" s="2">
        <v>1000</v>
      </c>
      <c r="R39" s="64">
        <f t="shared" si="3"/>
        <v>0</v>
      </c>
      <c r="S39" t="s">
        <v>375</v>
      </c>
    </row>
    <row r="40" spans="1:18" ht="12.75">
      <c r="A40" t="s">
        <v>194</v>
      </c>
      <c r="B40" s="4">
        <v>53.172</v>
      </c>
      <c r="C40" s="2">
        <v>27989</v>
      </c>
      <c r="D40" s="2">
        <v>11132</v>
      </c>
      <c r="E40" s="2">
        <v>13023</v>
      </c>
      <c r="F40" s="2">
        <v>14225</v>
      </c>
      <c r="G40" s="2">
        <v>15837</v>
      </c>
      <c r="H40" s="2">
        <v>14353</v>
      </c>
      <c r="I40" s="2">
        <f>7919+208</f>
        <v>8127</v>
      </c>
      <c r="J40" s="2">
        <v>16264</v>
      </c>
      <c r="K40" s="2">
        <f>19961+8</f>
        <v>19969</v>
      </c>
      <c r="L40" s="2">
        <v>5815</v>
      </c>
      <c r="M40" s="2">
        <f t="shared" si="0"/>
        <v>11630</v>
      </c>
      <c r="N40" s="2">
        <v>20000</v>
      </c>
      <c r="O40" s="2">
        <v>20000</v>
      </c>
      <c r="P40" s="2">
        <v>15000</v>
      </c>
      <c r="Q40" s="2">
        <v>15000</v>
      </c>
      <c r="R40" s="64">
        <f t="shared" si="3"/>
        <v>-0.25</v>
      </c>
    </row>
    <row r="41" spans="1:18" ht="12.75">
      <c r="A41" t="s">
        <v>698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>
        <v>125</v>
      </c>
      <c r="M41" s="2">
        <v>125</v>
      </c>
      <c r="N41" s="2"/>
      <c r="O41" s="2"/>
      <c r="P41" s="2"/>
      <c r="Q41" s="2"/>
      <c r="R41" s="64"/>
    </row>
    <row r="42" spans="1:18" ht="12.75">
      <c r="A42" t="s">
        <v>131</v>
      </c>
      <c r="B42" s="4">
        <v>53.174</v>
      </c>
      <c r="C42" s="2"/>
      <c r="D42" s="2">
        <v>16</v>
      </c>
      <c r="E42" s="2">
        <v>550</v>
      </c>
      <c r="F42" s="2">
        <v>830</v>
      </c>
      <c r="G42" s="2">
        <v>1214</v>
      </c>
      <c r="H42" s="2">
        <v>660</v>
      </c>
      <c r="I42" s="2">
        <v>597</v>
      </c>
      <c r="J42" s="2">
        <v>395</v>
      </c>
      <c r="K42" s="2">
        <v>634</v>
      </c>
      <c r="L42" s="2"/>
      <c r="M42" s="2">
        <v>800</v>
      </c>
      <c r="N42" s="2">
        <v>800</v>
      </c>
      <c r="O42" s="2">
        <v>800</v>
      </c>
      <c r="P42" s="2">
        <v>600</v>
      </c>
      <c r="Q42" s="2">
        <v>300</v>
      </c>
      <c r="R42" s="64">
        <f t="shared" si="3"/>
        <v>-0.625</v>
      </c>
    </row>
    <row r="43" spans="1:18" ht="12.75">
      <c r="A43" t="s">
        <v>79</v>
      </c>
      <c r="B43" s="4">
        <v>53.175</v>
      </c>
      <c r="C43" s="2">
        <v>1392</v>
      </c>
      <c r="D43" s="2">
        <v>688</v>
      </c>
      <c r="E43" s="2">
        <v>903</v>
      </c>
      <c r="F43" s="2">
        <v>841</v>
      </c>
      <c r="G43" s="2">
        <v>762</v>
      </c>
      <c r="H43" s="2">
        <v>691</v>
      </c>
      <c r="I43" s="2">
        <v>411</v>
      </c>
      <c r="J43" s="2">
        <v>857</v>
      </c>
      <c r="K43" s="2">
        <v>1096</v>
      </c>
      <c r="L43" s="2">
        <v>212</v>
      </c>
      <c r="M43" s="2">
        <f t="shared" si="0"/>
        <v>424</v>
      </c>
      <c r="N43" s="2">
        <v>2000</v>
      </c>
      <c r="O43" s="2">
        <v>2000</v>
      </c>
      <c r="P43" s="2">
        <v>1000</v>
      </c>
      <c r="Q43" s="2">
        <v>750</v>
      </c>
      <c r="R43" s="64">
        <f t="shared" si="3"/>
        <v>-0.625</v>
      </c>
    </row>
    <row r="44" spans="1:18" ht="12.75">
      <c r="A44" t="s">
        <v>68</v>
      </c>
      <c r="B44" s="4">
        <v>53.176</v>
      </c>
      <c r="C44" s="2">
        <v>234</v>
      </c>
      <c r="D44" s="2">
        <v>82</v>
      </c>
      <c r="E44" s="2">
        <v>80</v>
      </c>
      <c r="F44" s="2">
        <v>88</v>
      </c>
      <c r="G44" s="2">
        <v>101</v>
      </c>
      <c r="H44" s="2">
        <v>25</v>
      </c>
      <c r="I44" s="2">
        <v>94</v>
      </c>
      <c r="J44" s="2">
        <v>91</v>
      </c>
      <c r="K44" s="2">
        <v>126</v>
      </c>
      <c r="L44" s="2">
        <v>5</v>
      </c>
      <c r="M44" s="2">
        <f t="shared" si="0"/>
        <v>10</v>
      </c>
      <c r="N44" s="2">
        <v>100</v>
      </c>
      <c r="O44" s="2">
        <v>100</v>
      </c>
      <c r="P44" s="2">
        <v>100</v>
      </c>
      <c r="Q44" s="2">
        <v>100</v>
      </c>
      <c r="R44" s="64">
        <f t="shared" si="3"/>
        <v>0</v>
      </c>
    </row>
    <row r="45" spans="1:18" ht="12.75">
      <c r="A45" t="s">
        <v>69</v>
      </c>
      <c r="B45" s="4">
        <v>53.177</v>
      </c>
      <c r="C45" s="2">
        <v>118</v>
      </c>
      <c r="D45" s="2">
        <v>345</v>
      </c>
      <c r="E45" s="2">
        <v>226</v>
      </c>
      <c r="F45" s="2">
        <v>264</v>
      </c>
      <c r="G45" s="2">
        <v>43</v>
      </c>
      <c r="H45" s="2"/>
      <c r="I45" s="2"/>
      <c r="J45" s="2">
        <v>748</v>
      </c>
      <c r="K45" s="2">
        <v>9</v>
      </c>
      <c r="L45" s="11">
        <v>88</v>
      </c>
      <c r="M45" s="2">
        <f t="shared" si="0"/>
        <v>176</v>
      </c>
      <c r="N45" s="2"/>
      <c r="O45" s="2"/>
      <c r="P45" s="2"/>
      <c r="Q45" s="2"/>
      <c r="R45" s="64"/>
    </row>
    <row r="46" spans="1:18" ht="12.75">
      <c r="A46" t="s">
        <v>82</v>
      </c>
      <c r="B46" s="4">
        <v>53.178</v>
      </c>
      <c r="C46" s="2">
        <v>82</v>
      </c>
      <c r="D46" s="2">
        <v>87</v>
      </c>
      <c r="E46" s="2"/>
      <c r="F46" s="2">
        <v>110</v>
      </c>
      <c r="G46" s="2"/>
      <c r="H46" s="2">
        <v>82</v>
      </c>
      <c r="I46" s="2"/>
      <c r="J46" s="2"/>
      <c r="K46" s="2">
        <v>2288</v>
      </c>
      <c r="M46" s="2">
        <f t="shared" si="0"/>
        <v>0</v>
      </c>
      <c r="N46" s="2"/>
      <c r="O46" s="2"/>
      <c r="P46" s="2"/>
      <c r="Q46" s="2"/>
      <c r="R46" s="64"/>
    </row>
    <row r="47" spans="1:18" ht="12.75">
      <c r="A47" t="s">
        <v>70</v>
      </c>
      <c r="B47" s="4">
        <v>53.179</v>
      </c>
      <c r="C47" s="2">
        <v>635</v>
      </c>
      <c r="D47" s="2">
        <v>1069</v>
      </c>
      <c r="E47" s="2">
        <v>1260</v>
      </c>
      <c r="F47" s="2">
        <v>817</v>
      </c>
      <c r="G47" s="2">
        <v>1189</v>
      </c>
      <c r="H47" s="2">
        <v>1168</v>
      </c>
      <c r="I47" s="2">
        <v>1893</v>
      </c>
      <c r="J47" s="2">
        <v>1971</v>
      </c>
      <c r="K47" s="2">
        <v>169</v>
      </c>
      <c r="L47" s="2">
        <v>1097</v>
      </c>
      <c r="M47" s="2">
        <f t="shared" si="0"/>
        <v>2194</v>
      </c>
      <c r="N47" s="2">
        <v>1600</v>
      </c>
      <c r="O47" s="2">
        <v>1600</v>
      </c>
      <c r="P47" s="2">
        <v>1600</v>
      </c>
      <c r="Q47" s="2">
        <v>1600</v>
      </c>
      <c r="R47" s="64">
        <f>(Q47-N47)/N47</f>
        <v>0</v>
      </c>
    </row>
    <row r="48" spans="1:18" ht="12.75">
      <c r="A48" t="s">
        <v>133</v>
      </c>
      <c r="B48" s="4">
        <v>53.18</v>
      </c>
      <c r="C48" s="2">
        <v>81</v>
      </c>
      <c r="D48" s="2">
        <v>113</v>
      </c>
      <c r="E48" s="2">
        <v>101</v>
      </c>
      <c r="F48" s="2">
        <v>75</v>
      </c>
      <c r="G48" s="2">
        <v>37</v>
      </c>
      <c r="H48" s="2"/>
      <c r="I48" s="2">
        <v>58</v>
      </c>
      <c r="J48" s="2">
        <v>192</v>
      </c>
      <c r="K48" s="2"/>
      <c r="L48" s="11"/>
      <c r="M48" s="2">
        <f t="shared" si="0"/>
        <v>0</v>
      </c>
      <c r="N48" s="2"/>
      <c r="O48" s="2"/>
      <c r="P48" s="2"/>
      <c r="Q48" s="2"/>
      <c r="R48" s="64"/>
    </row>
    <row r="49" spans="2:18" ht="12.75">
      <c r="B49" s="4"/>
      <c r="C49" s="2"/>
      <c r="D49" s="2"/>
      <c r="E49" s="2"/>
      <c r="F49" s="2"/>
      <c r="G49" s="2"/>
      <c r="H49" s="2"/>
      <c r="I49" s="2">
        <v>18</v>
      </c>
      <c r="J49" s="2"/>
      <c r="K49" s="2"/>
      <c r="L49" s="11">
        <v>0</v>
      </c>
      <c r="M49" s="2"/>
      <c r="N49" s="2"/>
      <c r="O49" s="2"/>
      <c r="P49" s="2"/>
      <c r="Q49" s="2"/>
      <c r="R49" s="64"/>
    </row>
    <row r="50" spans="1:18" ht="12.75">
      <c r="A50" t="s">
        <v>394</v>
      </c>
      <c r="B50" s="4">
        <v>54.24</v>
      </c>
      <c r="C50" s="2"/>
      <c r="D50" s="2"/>
      <c r="E50" s="2"/>
      <c r="F50" s="2"/>
      <c r="G50" s="2"/>
      <c r="H50" s="2"/>
      <c r="I50" s="2">
        <v>534</v>
      </c>
      <c r="J50" s="2"/>
      <c r="K50" s="2"/>
      <c r="L50" s="2"/>
      <c r="M50" s="2"/>
      <c r="N50" s="2"/>
      <c r="O50" s="2"/>
      <c r="P50" s="2"/>
      <c r="Q50" s="2"/>
      <c r="R50" s="64"/>
    </row>
    <row r="51" spans="1:18" ht="12.75">
      <c r="A51" t="s">
        <v>241</v>
      </c>
      <c r="B51" s="4">
        <v>54.25</v>
      </c>
      <c r="C51" s="2"/>
      <c r="D51" s="2">
        <v>24788</v>
      </c>
      <c r="E51" s="2">
        <v>3233</v>
      </c>
      <c r="F51" s="2">
        <v>12167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4"/>
    </row>
    <row r="52" spans="2:18" ht="12.75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64"/>
    </row>
    <row r="53" spans="1:18" ht="12.75">
      <c r="A53" t="s">
        <v>588</v>
      </c>
      <c r="B53" s="4"/>
      <c r="C53" s="2"/>
      <c r="D53" s="2"/>
      <c r="E53" s="2"/>
      <c r="F53" s="2"/>
      <c r="G53" s="2"/>
      <c r="H53" s="2"/>
      <c r="I53" s="2"/>
      <c r="J53" s="2">
        <v>19200</v>
      </c>
      <c r="K53" s="2"/>
      <c r="L53" s="2"/>
      <c r="M53" s="2"/>
      <c r="N53" s="2"/>
      <c r="O53" s="2"/>
      <c r="P53" s="2"/>
      <c r="Q53" s="2"/>
      <c r="R53" s="64"/>
    </row>
    <row r="54" spans="1:19" ht="12.75">
      <c r="A54" t="s">
        <v>765</v>
      </c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4"/>
      <c r="S54" t="s">
        <v>410</v>
      </c>
    </row>
    <row r="55" spans="1:19" ht="12.75">
      <c r="A55" t="s">
        <v>766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4"/>
      <c r="S55" t="s">
        <v>415</v>
      </c>
    </row>
    <row r="56" spans="2:18" ht="12.75"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64"/>
    </row>
    <row r="57" spans="1:18" ht="12.75" hidden="1">
      <c r="A57" t="s">
        <v>369</v>
      </c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49"/>
    </row>
    <row r="58" spans="1:18" ht="12.75" hidden="1">
      <c r="A58" t="s">
        <v>370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2"/>
      <c r="P58" s="5"/>
      <c r="Q58" s="5"/>
      <c r="R58" s="49"/>
    </row>
    <row r="59" spans="1:18" ht="12.75">
      <c r="A59" s="6" t="s">
        <v>23</v>
      </c>
      <c r="B59" s="6"/>
      <c r="C59" s="7">
        <f aca="true" t="shared" si="4" ref="C59:I59">SUM(C7:C58)</f>
        <v>166725</v>
      </c>
      <c r="D59" s="8">
        <f t="shared" si="4"/>
        <v>201685</v>
      </c>
      <c r="E59" s="8">
        <f t="shared" si="4"/>
        <v>189189</v>
      </c>
      <c r="F59" s="8">
        <f t="shared" si="4"/>
        <v>209065</v>
      </c>
      <c r="G59" s="8">
        <f t="shared" si="4"/>
        <v>211057</v>
      </c>
      <c r="H59" s="8">
        <f t="shared" si="4"/>
        <v>215056</v>
      </c>
      <c r="I59" s="8">
        <f t="shared" si="4"/>
        <v>220974</v>
      </c>
      <c r="J59" s="8">
        <v>251537</v>
      </c>
      <c r="K59" s="8">
        <f aca="true" t="shared" si="5" ref="K59:Q59">SUM(K7:K58)</f>
        <v>271364</v>
      </c>
      <c r="L59" s="8">
        <f>SUM(L7:L58)</f>
        <v>112404</v>
      </c>
      <c r="M59" s="8">
        <f t="shared" si="5"/>
        <v>213985</v>
      </c>
      <c r="N59" s="8">
        <f t="shared" si="5"/>
        <v>272631.68200000003</v>
      </c>
      <c r="O59" s="8">
        <f t="shared" si="5"/>
        <v>277870.7035</v>
      </c>
      <c r="P59" s="8">
        <f t="shared" si="5"/>
        <v>258511.4804215</v>
      </c>
      <c r="Q59" s="8">
        <f t="shared" si="5"/>
        <v>252011.4804215</v>
      </c>
      <c r="R59" s="50">
        <f>(Q59-N59)/N59</f>
        <v>-0.07563391542476725</v>
      </c>
    </row>
    <row r="61" spans="14:16" ht="12.75">
      <c r="N61" s="21" t="s">
        <v>357</v>
      </c>
      <c r="O61" s="21"/>
      <c r="P61" s="53">
        <f>O59-P59</f>
        <v>19359.223078500014</v>
      </c>
    </row>
    <row r="62" spans="14:16" ht="12.75">
      <c r="N62" s="21" t="s">
        <v>545</v>
      </c>
      <c r="O62" s="21"/>
      <c r="P62" s="53">
        <f>N59-P59</f>
        <v>14120.20157850004</v>
      </c>
    </row>
    <row r="63" spans="2:16" ht="12.75">
      <c r="B63" s="4"/>
      <c r="N63" s="21" t="s">
        <v>307</v>
      </c>
      <c r="O63" s="21"/>
      <c r="P63" s="53">
        <f>P59-Q59</f>
        <v>6500</v>
      </c>
    </row>
    <row r="64" spans="1:16" ht="12.75">
      <c r="A64" s="31" t="s">
        <v>724</v>
      </c>
      <c r="B64" s="4"/>
      <c r="N64" s="21"/>
      <c r="O64" s="21"/>
      <c r="P64" s="53"/>
    </row>
    <row r="65" spans="1:17" ht="12.75">
      <c r="A65" t="s">
        <v>692</v>
      </c>
      <c r="O65" s="18"/>
      <c r="P65" s="18"/>
      <c r="Q65" s="18"/>
    </row>
    <row r="66" spans="1:17" ht="12.75">
      <c r="A66" t="s">
        <v>767</v>
      </c>
      <c r="O66" s="18"/>
      <c r="P66" s="18"/>
      <c r="Q66" s="18"/>
    </row>
    <row r="67" spans="1:17" ht="12.75">
      <c r="A67" t="s">
        <v>768</v>
      </c>
      <c r="O67" s="18"/>
      <c r="P67" s="18"/>
      <c r="Q67" s="18"/>
    </row>
    <row r="68" spans="2:16" ht="12.75">
      <c r="B68" s="4"/>
      <c r="N68" s="21"/>
      <c r="O68" s="21"/>
      <c r="P68" s="53"/>
    </row>
    <row r="69" ht="12.75">
      <c r="A69" t="s">
        <v>769</v>
      </c>
    </row>
    <row r="71" ht="12.75">
      <c r="A71" s="6" t="s">
        <v>691</v>
      </c>
    </row>
    <row r="72" spans="1:11" ht="12.75">
      <c r="A72" s="39" t="s">
        <v>667</v>
      </c>
      <c r="B72" s="40">
        <v>34.721</v>
      </c>
      <c r="C72" s="41">
        <v>1650</v>
      </c>
      <c r="D72" s="41">
        <v>1620</v>
      </c>
      <c r="E72" s="41">
        <v>970</v>
      </c>
      <c r="F72" s="41">
        <v>2030</v>
      </c>
      <c r="G72" s="41">
        <v>1365</v>
      </c>
      <c r="H72" s="41">
        <v>1305</v>
      </c>
      <c r="I72" s="41">
        <v>1925</v>
      </c>
      <c r="J72" s="41">
        <v>2540</v>
      </c>
      <c r="K72" s="41">
        <v>3546</v>
      </c>
    </row>
    <row r="73" spans="1:11" ht="12.75">
      <c r="A73" s="39" t="s">
        <v>668</v>
      </c>
      <c r="B73" s="40">
        <v>34.7212</v>
      </c>
      <c r="C73" s="41">
        <v>1295</v>
      </c>
      <c r="D73" s="41"/>
      <c r="E73" s="41">
        <v>597</v>
      </c>
      <c r="F73" s="41">
        <v>2759</v>
      </c>
      <c r="G73" s="41">
        <v>75</v>
      </c>
      <c r="H73" s="41"/>
      <c r="I73" s="41"/>
      <c r="J73" s="41"/>
      <c r="K73" s="41">
        <v>1050</v>
      </c>
    </row>
    <row r="74" spans="1:11" ht="12.75">
      <c r="A74" s="39" t="s">
        <v>669</v>
      </c>
      <c r="B74" s="40">
        <v>34.731</v>
      </c>
      <c r="C74" s="41">
        <v>2200</v>
      </c>
      <c r="D74" s="41">
        <v>4254</v>
      </c>
      <c r="E74" s="41">
        <v>4234</v>
      </c>
      <c r="F74" s="41">
        <v>2673</v>
      </c>
      <c r="G74" s="41">
        <v>3479</v>
      </c>
      <c r="H74" s="41">
        <v>3785</v>
      </c>
      <c r="I74" s="41">
        <v>5391</v>
      </c>
      <c r="J74" s="41">
        <v>6709</v>
      </c>
      <c r="K74" s="41">
        <v>7277</v>
      </c>
    </row>
    <row r="75" spans="1:11" ht="12.75">
      <c r="A75" s="39" t="s">
        <v>379</v>
      </c>
      <c r="B75" s="40">
        <v>34.7312</v>
      </c>
      <c r="C75" s="41"/>
      <c r="D75" s="41"/>
      <c r="E75" s="41"/>
      <c r="F75" s="41">
        <v>1708</v>
      </c>
      <c r="G75" s="41"/>
      <c r="H75" s="41"/>
      <c r="I75" s="41"/>
      <c r="J75" s="41"/>
      <c r="K75" s="41"/>
    </row>
    <row r="76" spans="1:11" ht="12.75">
      <c r="A76" s="43" t="s">
        <v>670</v>
      </c>
      <c r="B76" s="40">
        <v>34.7315</v>
      </c>
      <c r="C76" s="41"/>
      <c r="D76" s="41"/>
      <c r="E76" s="41"/>
      <c r="F76" s="41">
        <v>10185</v>
      </c>
      <c r="G76" s="41">
        <v>12638</v>
      </c>
      <c r="H76" s="41">
        <v>10915</v>
      </c>
      <c r="I76" s="41">
        <v>11235</v>
      </c>
      <c r="J76" s="41">
        <v>7804</v>
      </c>
      <c r="K76" s="41">
        <v>10904</v>
      </c>
    </row>
    <row r="77" spans="1:11" ht="12.75">
      <c r="A77" s="43" t="s">
        <v>675</v>
      </c>
      <c r="B77" s="40">
        <v>34.7318</v>
      </c>
      <c r="C77" s="41"/>
      <c r="D77" s="41"/>
      <c r="E77" s="41"/>
      <c r="F77" s="41"/>
      <c r="G77" s="41"/>
      <c r="H77" s="41">
        <v>2750</v>
      </c>
      <c r="I77" s="41">
        <v>2072</v>
      </c>
      <c r="J77" s="41">
        <v>1709</v>
      </c>
      <c r="K77" s="41">
        <v>1366</v>
      </c>
    </row>
    <row r="78" spans="1:11" ht="12.75">
      <c r="A78" s="39" t="s">
        <v>674</v>
      </c>
      <c r="B78" s="40">
        <v>34.732</v>
      </c>
      <c r="C78" s="41">
        <v>497</v>
      </c>
      <c r="D78" s="41"/>
      <c r="E78" s="41"/>
      <c r="F78" s="41">
        <v>728</v>
      </c>
      <c r="G78" s="41"/>
      <c r="H78" s="41">
        <v>125</v>
      </c>
      <c r="I78" s="41"/>
      <c r="J78" s="41"/>
      <c r="K78" s="41"/>
    </row>
    <row r="79" spans="1:11" ht="12.75">
      <c r="A79" s="39" t="s">
        <v>673</v>
      </c>
      <c r="B79" s="40">
        <v>34.733</v>
      </c>
      <c r="C79" s="41" t="s">
        <v>27</v>
      </c>
      <c r="D79" s="41">
        <v>900</v>
      </c>
      <c r="E79" s="41">
        <v>2056</v>
      </c>
      <c r="F79" s="41">
        <v>2337</v>
      </c>
      <c r="G79" s="41">
        <v>187</v>
      </c>
      <c r="H79" s="41"/>
      <c r="I79" s="41">
        <v>400</v>
      </c>
      <c r="J79" s="41"/>
      <c r="K79" s="41"/>
    </row>
    <row r="80" spans="1:11" ht="12.75">
      <c r="A80" s="39" t="s">
        <v>672</v>
      </c>
      <c r="B80" s="40">
        <v>34.751</v>
      </c>
      <c r="C80" s="41">
        <v>10240</v>
      </c>
      <c r="D80" s="41">
        <v>10084</v>
      </c>
      <c r="E80" s="41">
        <v>1700</v>
      </c>
      <c r="F80" s="41">
        <v>9603</v>
      </c>
      <c r="G80" s="41">
        <v>10414</v>
      </c>
      <c r="H80" s="41">
        <v>11535</v>
      </c>
      <c r="I80" s="41">
        <v>8270</v>
      </c>
      <c r="J80" s="41">
        <v>10284</v>
      </c>
      <c r="K80" s="41">
        <v>10025</v>
      </c>
    </row>
    <row r="81" spans="1:11" ht="12.75">
      <c r="A81" s="39" t="s">
        <v>671</v>
      </c>
      <c r="B81" s="40">
        <v>34.752</v>
      </c>
      <c r="C81" s="41">
        <v>3720</v>
      </c>
      <c r="D81" s="41">
        <v>3720</v>
      </c>
      <c r="E81" s="41">
        <v>3900</v>
      </c>
      <c r="F81" s="41">
        <v>4200</v>
      </c>
      <c r="G81" s="41">
        <v>3232</v>
      </c>
      <c r="H81" s="41">
        <v>3300</v>
      </c>
      <c r="I81" s="41">
        <v>3080</v>
      </c>
      <c r="J81" s="41">
        <v>2660</v>
      </c>
      <c r="K81" s="41">
        <v>2649</v>
      </c>
    </row>
    <row r="82" spans="1:11" ht="12.75">
      <c r="A82" s="43" t="s">
        <v>382</v>
      </c>
      <c r="B82" s="40">
        <v>34.753</v>
      </c>
      <c r="C82" s="41"/>
      <c r="D82" s="41"/>
      <c r="E82" s="41">
        <v>7280</v>
      </c>
      <c r="F82" s="41"/>
      <c r="G82" s="41">
        <v>260</v>
      </c>
      <c r="H82" s="41"/>
      <c r="I82" s="41">
        <v>2797</v>
      </c>
      <c r="J82" s="41"/>
      <c r="K82" s="41"/>
    </row>
    <row r="83" spans="1:17" ht="12.75">
      <c r="A83" s="39" t="s">
        <v>676</v>
      </c>
      <c r="B83" s="40">
        <v>34.754</v>
      </c>
      <c r="C83" s="41">
        <v>3184</v>
      </c>
      <c r="D83" s="41">
        <v>1846</v>
      </c>
      <c r="E83" s="41">
        <v>944</v>
      </c>
      <c r="F83" s="41">
        <v>1955</v>
      </c>
      <c r="G83" s="41">
        <v>2600</v>
      </c>
      <c r="H83" s="41">
        <v>2185</v>
      </c>
      <c r="I83" s="41"/>
      <c r="J83" s="41">
        <v>801</v>
      </c>
      <c r="K83" s="41">
        <v>1308</v>
      </c>
      <c r="L83" s="2"/>
      <c r="M83" s="2"/>
      <c r="N83" s="2"/>
      <c r="O83" s="2"/>
      <c r="P83" s="2"/>
      <c r="Q83" s="2"/>
    </row>
    <row r="84" spans="1:17" ht="12.75">
      <c r="A84" s="39" t="s">
        <v>677</v>
      </c>
      <c r="B84" s="40">
        <v>34.791</v>
      </c>
      <c r="C84" s="41">
        <v>4236</v>
      </c>
      <c r="D84" s="41">
        <v>7396</v>
      </c>
      <c r="E84" s="41">
        <v>6413</v>
      </c>
      <c r="F84" s="41">
        <v>5837</v>
      </c>
      <c r="G84" s="41">
        <v>8102</v>
      </c>
      <c r="H84" s="41">
        <v>7101</v>
      </c>
      <c r="I84" s="41">
        <v>12177</v>
      </c>
      <c r="J84" s="41">
        <v>10166</v>
      </c>
      <c r="K84" s="41">
        <v>9118</v>
      </c>
      <c r="L84" s="2"/>
      <c r="M84" s="2"/>
      <c r="N84" s="2"/>
      <c r="O84" s="2"/>
      <c r="P84" s="2"/>
      <c r="Q84" s="2"/>
    </row>
    <row r="85" spans="1:17" ht="12.75">
      <c r="A85" s="39" t="s">
        <v>678</v>
      </c>
      <c r="B85" s="40">
        <v>34.792</v>
      </c>
      <c r="C85" s="41">
        <v>1739</v>
      </c>
      <c r="D85" s="41">
        <v>2200</v>
      </c>
      <c r="E85" s="41">
        <v>2330</v>
      </c>
      <c r="F85" s="41">
        <v>2525</v>
      </c>
      <c r="G85" s="41">
        <v>2300</v>
      </c>
      <c r="H85" s="41">
        <v>2050</v>
      </c>
      <c r="I85" s="41">
        <v>2072</v>
      </c>
      <c r="J85" s="41">
        <v>1185</v>
      </c>
      <c r="K85" s="41">
        <v>1655</v>
      </c>
      <c r="L85" s="2"/>
      <c r="M85" s="2"/>
      <c r="N85" s="2"/>
      <c r="O85" s="2"/>
      <c r="P85" s="2"/>
      <c r="Q85" s="2"/>
    </row>
    <row r="86" spans="1:11" ht="12.75">
      <c r="A86" s="39" t="s">
        <v>679</v>
      </c>
      <c r="B86" s="40">
        <v>34.793</v>
      </c>
      <c r="C86" s="41">
        <v>3590</v>
      </c>
      <c r="D86" s="41">
        <v>3650</v>
      </c>
      <c r="E86" s="41">
        <v>1850</v>
      </c>
      <c r="F86" s="41">
        <v>3650</v>
      </c>
      <c r="G86" s="41">
        <v>3830</v>
      </c>
      <c r="H86" s="41">
        <v>1900</v>
      </c>
      <c r="I86" s="41">
        <v>8019</v>
      </c>
      <c r="J86" s="41">
        <v>6592</v>
      </c>
      <c r="K86" s="41">
        <v>5857</v>
      </c>
    </row>
    <row r="87" spans="1:11" ht="12.75">
      <c r="A87" s="39" t="s">
        <v>680</v>
      </c>
      <c r="B87" s="40">
        <v>37.14</v>
      </c>
      <c r="C87" s="41">
        <v>536</v>
      </c>
      <c r="D87" s="21"/>
      <c r="E87" s="41"/>
      <c r="F87" s="41"/>
      <c r="G87" t="s">
        <v>495</v>
      </c>
      <c r="H87" s="41"/>
      <c r="I87" s="41"/>
      <c r="J87" s="41">
        <v>303</v>
      </c>
      <c r="K87" s="41">
        <v>2052</v>
      </c>
    </row>
    <row r="88" spans="9:11" ht="12.75">
      <c r="I88" s="2">
        <f>SUM(I72:I87)</f>
        <v>57438</v>
      </c>
      <c r="J88" s="2">
        <f>SUM(J72:J87)</f>
        <v>50753</v>
      </c>
      <c r="K88" s="2">
        <f>SUM(K72:K87)</f>
        <v>56807</v>
      </c>
    </row>
  </sheetData>
  <printOptions gridLines="1"/>
  <pageMargins left="0.25" right="0.25" top="1" bottom="0.55" header="0.5" footer="0.25"/>
  <pageSetup fitToHeight="2" fitToWidth="1" horizontalDpi="300" verticalDpi="300" orientation="landscape" scale="72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T71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8" width="11.7109375" style="0" hidden="1" customWidth="1"/>
    <col min="9" max="12" width="11.7109375" style="0" customWidth="1"/>
    <col min="13" max="13" width="13.421875" style="0" bestFit="1" customWidth="1"/>
    <col min="14" max="15" width="11.7109375" style="0" customWidth="1"/>
    <col min="16" max="17" width="10.8515625" style="0" bestFit="1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350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 t="s">
        <v>17</v>
      </c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16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8" ht="12.75">
      <c r="A7" t="s">
        <v>195</v>
      </c>
      <c r="B7" s="4">
        <v>57.213</v>
      </c>
      <c r="C7" s="2">
        <v>15000</v>
      </c>
      <c r="D7" s="2">
        <v>15000</v>
      </c>
      <c r="E7" s="2">
        <v>15000</v>
      </c>
      <c r="F7" s="2">
        <v>15000</v>
      </c>
      <c r="G7" s="2">
        <v>17500</v>
      </c>
      <c r="H7" s="2">
        <v>15000</v>
      </c>
      <c r="I7" s="2">
        <v>15000</v>
      </c>
      <c r="J7" s="2">
        <v>15000</v>
      </c>
      <c r="K7" s="2">
        <v>17500</v>
      </c>
      <c r="L7" s="2">
        <v>10000</v>
      </c>
      <c r="M7" s="2">
        <v>20000</v>
      </c>
      <c r="N7" s="2">
        <v>20000</v>
      </c>
      <c r="O7" s="2">
        <v>20000</v>
      </c>
      <c r="P7" s="2">
        <v>20000</v>
      </c>
      <c r="Q7" s="2">
        <v>19000</v>
      </c>
      <c r="R7" s="64">
        <f>(Q7-N7)/N7</f>
        <v>-0.05</v>
      </c>
    </row>
    <row r="8" spans="2:18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5"/>
      <c r="O8" s="5"/>
      <c r="P8" s="2"/>
      <c r="Q8" s="2"/>
      <c r="R8" s="49"/>
    </row>
    <row r="9" spans="2:18" ht="12.7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9"/>
    </row>
    <row r="10" spans="1:18" ht="12.75">
      <c r="A10" s="6" t="s">
        <v>23</v>
      </c>
      <c r="B10" s="6"/>
      <c r="C10" s="7">
        <f aca="true" t="shared" si="0" ref="C10:I10">SUM(C7:C9)</f>
        <v>15000</v>
      </c>
      <c r="D10" s="8">
        <f t="shared" si="0"/>
        <v>15000</v>
      </c>
      <c r="E10" s="8">
        <f t="shared" si="0"/>
        <v>15000</v>
      </c>
      <c r="F10" s="8">
        <f t="shared" si="0"/>
        <v>15000</v>
      </c>
      <c r="G10" s="8">
        <f t="shared" si="0"/>
        <v>17500</v>
      </c>
      <c r="H10" s="8">
        <f t="shared" si="0"/>
        <v>15000</v>
      </c>
      <c r="I10" s="8">
        <f t="shared" si="0"/>
        <v>15000</v>
      </c>
      <c r="J10" s="8">
        <v>15000</v>
      </c>
      <c r="K10" s="8">
        <f aca="true" t="shared" si="1" ref="K10:Q10">SUM(K7:K9)</f>
        <v>17500</v>
      </c>
      <c r="L10" s="8">
        <f t="shared" si="1"/>
        <v>10000</v>
      </c>
      <c r="M10" s="8">
        <f t="shared" si="1"/>
        <v>20000</v>
      </c>
      <c r="N10" s="8">
        <f t="shared" si="1"/>
        <v>20000</v>
      </c>
      <c r="O10" s="8">
        <f t="shared" si="1"/>
        <v>20000</v>
      </c>
      <c r="P10" s="8">
        <f t="shared" si="1"/>
        <v>20000</v>
      </c>
      <c r="Q10" s="8">
        <f t="shared" si="1"/>
        <v>19000</v>
      </c>
      <c r="R10" s="50">
        <f>(Q10-N10)/N10</f>
        <v>-0.05</v>
      </c>
    </row>
    <row r="11" ht="12.75">
      <c r="R11" s="49"/>
    </row>
    <row r="12" spans="14:18" ht="12.75">
      <c r="N12" s="21" t="s">
        <v>357</v>
      </c>
      <c r="O12" s="21"/>
      <c r="P12" s="53">
        <f>O10-P10</f>
        <v>0</v>
      </c>
      <c r="R12" s="49"/>
    </row>
    <row r="13" spans="14:18" ht="12.75">
      <c r="N13" s="21" t="s">
        <v>545</v>
      </c>
      <c r="O13" s="21"/>
      <c r="P13" s="53">
        <f>N10-P10</f>
        <v>0</v>
      </c>
      <c r="R13" s="49"/>
    </row>
    <row r="14" spans="14:18" ht="12.75">
      <c r="N14" s="21" t="s">
        <v>307</v>
      </c>
      <c r="O14" s="21"/>
      <c r="P14" s="53">
        <f>P10-Q10</f>
        <v>1000</v>
      </c>
      <c r="R14" s="49"/>
    </row>
    <row r="15" ht="12.75">
      <c r="R15" s="49"/>
    </row>
    <row r="16" spans="1:18" ht="12.75">
      <c r="A16" s="44"/>
      <c r="R16" s="49"/>
    </row>
    <row r="17" ht="12.75">
      <c r="R17" s="49"/>
    </row>
    <row r="18" ht="12.75">
      <c r="R18" s="49"/>
    </row>
    <row r="19" ht="12.75">
      <c r="R19" s="49"/>
    </row>
    <row r="20" spans="18:20" ht="12.75">
      <c r="R20" s="49"/>
      <c r="T20" t="s">
        <v>489</v>
      </c>
    </row>
    <row r="21" ht="12.75">
      <c r="R21" s="49"/>
    </row>
    <row r="22" ht="12.75">
      <c r="R22" s="49"/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31" ht="12.75"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48" ht="12.75">
      <c r="R48" s="49"/>
    </row>
    <row r="49" ht="12.75">
      <c r="R49" s="49"/>
    </row>
    <row r="50" ht="12.75">
      <c r="R50" s="49"/>
    </row>
    <row r="51" ht="12.75">
      <c r="R51" s="49"/>
    </row>
    <row r="52" ht="12.75">
      <c r="R52" s="49"/>
    </row>
    <row r="53" ht="12.75">
      <c r="R53" s="49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6" ht="12.75">
      <c r="R66" s="2"/>
    </row>
    <row r="67" ht="12.75">
      <c r="R67" s="2"/>
    </row>
    <row r="68" ht="12.75">
      <c r="R68" s="2"/>
    </row>
    <row r="69" ht="12.75">
      <c r="R69" s="2"/>
    </row>
    <row r="70" ht="12.75">
      <c r="R70" s="2"/>
    </row>
    <row r="71" ht="12.75">
      <c r="R71" s="2"/>
    </row>
  </sheetData>
  <printOptions gridLines="1"/>
  <pageMargins left="0.25" right="0.25" top="1" bottom="0.55" header="0.5" footer="0.25"/>
  <pageSetup fitToHeight="1" fitToWidth="1" horizontalDpi="300" verticalDpi="300" orientation="landscape" scale="77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10"/>
  <sheetViews>
    <sheetView zoomScale="75" zoomScaleNormal="75" workbookViewId="0" topLeftCell="A1">
      <pane ySplit="1350" topLeftCell="BM1" activePane="bottomLeft" state="split"/>
      <selection pane="topLeft" activeCell="O160" sqref="O160"/>
      <selection pane="bottomLeft" activeCell="O160" sqref="O160"/>
    </sheetView>
  </sheetViews>
  <sheetFormatPr defaultColWidth="9.140625" defaultRowHeight="12.75"/>
  <cols>
    <col min="1" max="1" width="34.7109375" style="0" bestFit="1" customWidth="1"/>
    <col min="2" max="2" width="7.57421875" style="0" bestFit="1" customWidth="1"/>
    <col min="3" max="3" width="0.13671875" style="0" hidden="1" customWidth="1"/>
    <col min="4" max="5" width="11.7109375" style="0" hidden="1" customWidth="1"/>
    <col min="6" max="6" width="8.00390625" style="0" hidden="1" customWidth="1"/>
    <col min="7" max="8" width="7.57421875" style="0" hidden="1" customWidth="1"/>
    <col min="9" max="11" width="7.57421875" style="0" customWidth="1"/>
    <col min="12" max="12" width="7.57421875" style="0" bestFit="1" customWidth="1"/>
    <col min="13" max="13" width="8.00390625" style="0" bestFit="1" customWidth="1"/>
    <col min="14" max="14" width="11.57421875" style="0" customWidth="1"/>
    <col min="15" max="15" width="8.00390625" style="0" bestFit="1" customWidth="1"/>
    <col min="16" max="16" width="9.28125" style="0" bestFit="1" customWidth="1"/>
    <col min="18" max="18" width="10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s="21" customFormat="1" ht="12.75">
      <c r="A3" s="6" t="s">
        <v>292</v>
      </c>
      <c r="F3" s="25"/>
      <c r="G3" s="25"/>
      <c r="H3" s="25"/>
      <c r="I3" s="25"/>
      <c r="J3" s="25"/>
      <c r="K3" s="25"/>
      <c r="L3" s="48">
        <v>6</v>
      </c>
      <c r="R3" s="25" t="s">
        <v>234</v>
      </c>
    </row>
    <row r="4" spans="3:18" s="21" customFormat="1" ht="12.75">
      <c r="C4" s="25" t="s">
        <v>15</v>
      </c>
      <c r="D4" s="25"/>
      <c r="E4" s="25"/>
      <c r="F4" s="25"/>
      <c r="G4" s="25"/>
      <c r="H4" s="25"/>
      <c r="I4" s="25"/>
      <c r="J4" s="25"/>
      <c r="K4" s="25"/>
      <c r="L4" s="25" t="s">
        <v>305</v>
      </c>
      <c r="N4" s="25"/>
      <c r="O4" s="25" t="s">
        <v>300</v>
      </c>
      <c r="P4" s="25" t="s">
        <v>302</v>
      </c>
      <c r="Q4" s="25" t="s">
        <v>303</v>
      </c>
      <c r="R4" s="25" t="s">
        <v>297</v>
      </c>
    </row>
    <row r="5" spans="3:18" s="21" customFormat="1" ht="12.75">
      <c r="C5" s="25" t="s">
        <v>16</v>
      </c>
      <c r="D5" s="25" t="s">
        <v>296</v>
      </c>
      <c r="E5" s="25" t="s">
        <v>296</v>
      </c>
      <c r="F5" s="25" t="s">
        <v>296</v>
      </c>
      <c r="G5" s="25" t="s">
        <v>296</v>
      </c>
      <c r="H5" s="25" t="s">
        <v>296</v>
      </c>
      <c r="I5" s="25" t="s">
        <v>296</v>
      </c>
      <c r="J5" s="25" t="s">
        <v>296</v>
      </c>
      <c r="K5" s="25" t="s">
        <v>296</v>
      </c>
      <c r="L5" s="25" t="s">
        <v>296</v>
      </c>
      <c r="M5" s="25" t="s">
        <v>306</v>
      </c>
      <c r="N5" s="25" t="s">
        <v>234</v>
      </c>
      <c r="O5" s="25" t="s">
        <v>301</v>
      </c>
      <c r="P5" s="25" t="s">
        <v>496</v>
      </c>
      <c r="Q5" s="25" t="s">
        <v>295</v>
      </c>
      <c r="R5" s="25" t="s">
        <v>298</v>
      </c>
    </row>
    <row r="6" spans="1:19" s="21" customFormat="1" ht="12.75">
      <c r="A6" s="21" t="s">
        <v>25</v>
      </c>
      <c r="C6" s="25">
        <v>1999</v>
      </c>
      <c r="D6" s="22">
        <v>2000</v>
      </c>
      <c r="E6" s="22">
        <v>2001</v>
      </c>
      <c r="F6" s="22">
        <v>2002</v>
      </c>
      <c r="G6" s="22">
        <v>2003</v>
      </c>
      <c r="H6" s="22">
        <v>2004</v>
      </c>
      <c r="I6" s="22">
        <v>2005</v>
      </c>
      <c r="J6" s="22">
        <v>2006</v>
      </c>
      <c r="K6" s="22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25" t="s">
        <v>22</v>
      </c>
    </row>
    <row r="7" spans="1:18" ht="12.75" hidden="1">
      <c r="A7" s="21" t="s">
        <v>491</v>
      </c>
      <c r="B7" s="4">
        <v>51.11</v>
      </c>
      <c r="C7" s="2">
        <v>10691</v>
      </c>
      <c r="D7" s="2">
        <v>12450</v>
      </c>
      <c r="E7" s="2">
        <v>7862</v>
      </c>
      <c r="F7" s="2">
        <v>640</v>
      </c>
      <c r="G7" s="2">
        <v>226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 hidden="1">
      <c r="A8" t="s">
        <v>30</v>
      </c>
      <c r="B8" s="4">
        <v>51.22</v>
      </c>
      <c r="C8" s="2"/>
      <c r="D8" s="2">
        <v>100</v>
      </c>
      <c r="E8" s="2"/>
      <c r="F8" s="2">
        <v>79</v>
      </c>
      <c r="G8" s="2"/>
      <c r="H8" s="2"/>
      <c r="I8" s="2"/>
      <c r="J8" s="2"/>
      <c r="K8" s="2"/>
      <c r="L8" s="2"/>
      <c r="M8" s="2"/>
      <c r="N8" s="2">
        <v>0</v>
      </c>
      <c r="O8" s="2"/>
      <c r="P8" s="2"/>
      <c r="Q8" s="2"/>
      <c r="R8" s="61"/>
    </row>
    <row r="9" spans="2:18" s="21" customFormat="1" ht="12.75" hidden="1">
      <c r="B9" s="4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67"/>
    </row>
    <row r="10" spans="1:18" ht="12.75">
      <c r="A10" t="s">
        <v>48</v>
      </c>
      <c r="B10" s="4">
        <v>52.12</v>
      </c>
      <c r="C10" s="2"/>
      <c r="D10" s="2"/>
      <c r="E10" s="2"/>
      <c r="F10" s="2">
        <v>401</v>
      </c>
      <c r="G10" s="2"/>
      <c r="H10" s="2"/>
      <c r="I10" s="2">
        <v>4952</v>
      </c>
      <c r="J10" s="2">
        <v>1201</v>
      </c>
      <c r="K10" s="2"/>
      <c r="L10" s="2"/>
      <c r="M10" s="29">
        <f>(12/$L$3)*L10</f>
        <v>0</v>
      </c>
      <c r="R10" s="67"/>
    </row>
    <row r="11" spans="1:19" ht="12.75">
      <c r="A11" t="s">
        <v>31</v>
      </c>
      <c r="B11" s="4">
        <v>52.1314</v>
      </c>
      <c r="C11" s="2">
        <v>3324</v>
      </c>
      <c r="D11" s="2">
        <v>2587</v>
      </c>
      <c r="E11" s="2">
        <v>1977</v>
      </c>
      <c r="F11" s="2">
        <v>2441</v>
      </c>
      <c r="G11" s="2"/>
      <c r="H11" s="2">
        <v>2254</v>
      </c>
      <c r="I11" s="2"/>
      <c r="J11" s="2">
        <v>11406</v>
      </c>
      <c r="K11" s="2">
        <v>620</v>
      </c>
      <c r="L11" s="2"/>
      <c r="M11" s="29"/>
      <c r="N11" s="2"/>
      <c r="O11" s="2"/>
      <c r="P11" s="2"/>
      <c r="Q11" s="2"/>
      <c r="R11" s="67" t="e">
        <f>(Q11-N11)/N11</f>
        <v>#DIV/0!</v>
      </c>
      <c r="S11" t="s">
        <v>256</v>
      </c>
    </row>
    <row r="12" spans="1:18" ht="12.75" hidden="1">
      <c r="A12" t="s">
        <v>155</v>
      </c>
      <c r="B12" s="4">
        <v>52.2206</v>
      </c>
      <c r="C12" s="2"/>
      <c r="D12" s="2"/>
      <c r="E12" s="2"/>
      <c r="F12" s="2">
        <v>1220</v>
      </c>
      <c r="G12" s="2"/>
      <c r="H12" s="2"/>
      <c r="I12" s="2"/>
      <c r="J12" s="2"/>
      <c r="K12" s="2"/>
      <c r="L12" s="2"/>
      <c r="M12" s="29"/>
      <c r="O12" s="2"/>
      <c r="R12" s="67"/>
    </row>
    <row r="13" spans="1:18" ht="12.75">
      <c r="A13" t="s">
        <v>30</v>
      </c>
      <c r="B13" s="4">
        <v>51.22</v>
      </c>
      <c r="C13" s="2"/>
      <c r="D13" s="2"/>
      <c r="E13" s="2"/>
      <c r="F13" s="2"/>
      <c r="G13" s="2"/>
      <c r="H13" s="2"/>
      <c r="I13" s="2"/>
      <c r="J13" s="2"/>
      <c r="K13" s="2">
        <v>44</v>
      </c>
      <c r="L13" s="2"/>
      <c r="M13" s="29"/>
      <c r="O13" s="2"/>
      <c r="R13" s="67"/>
    </row>
    <row r="14" spans="1:18" ht="12.75">
      <c r="A14" t="s">
        <v>32</v>
      </c>
      <c r="B14" s="4">
        <v>52.32</v>
      </c>
      <c r="C14" s="2"/>
      <c r="D14" s="2"/>
      <c r="E14" s="2"/>
      <c r="F14" s="2">
        <v>1</v>
      </c>
      <c r="G14" s="2"/>
      <c r="H14" s="2"/>
      <c r="I14" s="2">
        <v>9</v>
      </c>
      <c r="J14" s="2"/>
      <c r="K14" s="2"/>
      <c r="L14" s="2">
        <v>0</v>
      </c>
      <c r="M14" s="29"/>
      <c r="O14" s="2"/>
      <c r="R14" s="67"/>
    </row>
    <row r="15" spans="1:18" ht="12.75">
      <c r="A15" t="s">
        <v>33</v>
      </c>
      <c r="B15" s="4">
        <v>52.321</v>
      </c>
      <c r="C15" s="2"/>
      <c r="D15" s="2">
        <v>132</v>
      </c>
      <c r="E15" s="2">
        <v>99</v>
      </c>
      <c r="F15" s="2">
        <v>165</v>
      </c>
      <c r="G15" s="2">
        <v>111</v>
      </c>
      <c r="H15" s="2">
        <v>74</v>
      </c>
      <c r="I15" s="2">
        <v>93</v>
      </c>
      <c r="J15" s="2">
        <v>117</v>
      </c>
      <c r="K15" s="2">
        <v>162</v>
      </c>
      <c r="L15" s="2">
        <v>6</v>
      </c>
      <c r="M15" s="29">
        <v>120</v>
      </c>
      <c r="N15" s="2">
        <v>120</v>
      </c>
      <c r="O15" s="2">
        <v>120</v>
      </c>
      <c r="P15" s="2">
        <v>120</v>
      </c>
      <c r="Q15" s="2">
        <v>120</v>
      </c>
      <c r="R15" s="67">
        <f>(Q15-N15)/N15</f>
        <v>0</v>
      </c>
    </row>
    <row r="16" spans="1:18" ht="12.75">
      <c r="A16" t="s">
        <v>34</v>
      </c>
      <c r="B16" s="4">
        <v>52.35</v>
      </c>
      <c r="C16" s="2">
        <v>1060</v>
      </c>
      <c r="D16" s="2">
        <v>50</v>
      </c>
      <c r="E16" s="2">
        <v>577</v>
      </c>
      <c r="F16" s="2">
        <v>800</v>
      </c>
      <c r="G16" s="2">
        <v>523</v>
      </c>
      <c r="H16" s="2">
        <v>891</v>
      </c>
      <c r="I16" s="2">
        <v>809</v>
      </c>
      <c r="J16" s="2">
        <v>791</v>
      </c>
      <c r="K16" s="2">
        <v>1235</v>
      </c>
      <c r="L16" s="2">
        <v>0</v>
      </c>
      <c r="M16" s="29">
        <v>900</v>
      </c>
      <c r="N16" s="2">
        <v>900</v>
      </c>
      <c r="O16" s="2">
        <v>1200</v>
      </c>
      <c r="P16" s="2">
        <v>1200</v>
      </c>
      <c r="Q16" s="2">
        <v>1200</v>
      </c>
      <c r="R16" s="67">
        <f>(Q16-N16)/N16</f>
        <v>0.3333333333333333</v>
      </c>
    </row>
    <row r="17" spans="1:18" ht="12.75">
      <c r="A17" t="s">
        <v>35</v>
      </c>
      <c r="B17" s="4">
        <v>52.3602</v>
      </c>
      <c r="C17" s="2">
        <v>35</v>
      </c>
      <c r="D17" s="2">
        <v>25</v>
      </c>
      <c r="E17" s="2">
        <v>25</v>
      </c>
      <c r="F17" s="2">
        <v>20</v>
      </c>
      <c r="G17" s="2">
        <v>20</v>
      </c>
      <c r="H17" s="2">
        <v>20</v>
      </c>
      <c r="I17" s="2">
        <v>20</v>
      </c>
      <c r="J17" s="2">
        <v>20</v>
      </c>
      <c r="K17" s="2">
        <v>20</v>
      </c>
      <c r="L17" s="2">
        <v>0</v>
      </c>
      <c r="M17" s="29">
        <v>20</v>
      </c>
      <c r="N17" s="2">
        <v>20</v>
      </c>
      <c r="O17" s="2">
        <v>30</v>
      </c>
      <c r="P17" s="2">
        <v>20</v>
      </c>
      <c r="Q17" s="2">
        <v>20</v>
      </c>
      <c r="R17" s="67">
        <f>(Q17-N17)/N17</f>
        <v>0</v>
      </c>
    </row>
    <row r="18" spans="1:18" ht="12.75">
      <c r="A18" t="s">
        <v>36</v>
      </c>
      <c r="B18" s="4">
        <v>52.37</v>
      </c>
      <c r="C18" s="2"/>
      <c r="D18" s="2"/>
      <c r="E18" s="2">
        <v>230</v>
      </c>
      <c r="F18" s="2">
        <v>230</v>
      </c>
      <c r="G18" s="2">
        <v>250</v>
      </c>
      <c r="H18" s="2">
        <v>250</v>
      </c>
      <c r="I18" s="2"/>
      <c r="J18" s="2"/>
      <c r="K18" s="2">
        <v>295</v>
      </c>
      <c r="L18" s="2">
        <v>0</v>
      </c>
      <c r="M18" s="29">
        <v>915</v>
      </c>
      <c r="N18" s="2">
        <v>915</v>
      </c>
      <c r="O18" s="2">
        <v>915</v>
      </c>
      <c r="P18" s="2">
        <v>915</v>
      </c>
      <c r="Q18" s="2">
        <v>915</v>
      </c>
      <c r="R18" s="67"/>
    </row>
    <row r="19" spans="1:18" ht="12.75">
      <c r="A19" t="s">
        <v>358</v>
      </c>
      <c r="B19" s="4">
        <v>52.385</v>
      </c>
      <c r="C19" s="2"/>
      <c r="D19" s="2"/>
      <c r="E19" s="2"/>
      <c r="F19" s="2">
        <v>390</v>
      </c>
      <c r="G19" s="2">
        <v>3057</v>
      </c>
      <c r="H19" s="2">
        <v>105</v>
      </c>
      <c r="I19" s="2">
        <v>154</v>
      </c>
      <c r="J19" s="2">
        <v>112</v>
      </c>
      <c r="K19" s="2"/>
      <c r="L19" s="2">
        <v>0</v>
      </c>
      <c r="M19" s="29">
        <v>200</v>
      </c>
      <c r="N19" s="20">
        <v>200</v>
      </c>
      <c r="O19" s="2">
        <v>200</v>
      </c>
      <c r="P19" s="20">
        <v>200</v>
      </c>
      <c r="Q19" s="20">
        <v>200</v>
      </c>
      <c r="R19" s="67"/>
    </row>
    <row r="20" spans="1:18" ht="12.75">
      <c r="A20" t="s">
        <v>37</v>
      </c>
      <c r="B20" s="4">
        <v>52.3854</v>
      </c>
      <c r="C20" s="2">
        <v>10691</v>
      </c>
      <c r="D20" s="2">
        <v>12450</v>
      </c>
      <c r="E20" s="2"/>
      <c r="F20" s="2">
        <v>9055</v>
      </c>
      <c r="G20" s="2">
        <v>8965</v>
      </c>
      <c r="H20" s="2">
        <v>17297</v>
      </c>
      <c r="I20" s="2">
        <v>10668</v>
      </c>
      <c r="J20" s="2">
        <v>12232</v>
      </c>
      <c r="K20" s="2">
        <v>16255</v>
      </c>
      <c r="L20" s="2">
        <v>5483</v>
      </c>
      <c r="M20" s="29">
        <v>15000</v>
      </c>
      <c r="N20" s="2">
        <v>15000</v>
      </c>
      <c r="O20" s="2">
        <v>10300</v>
      </c>
      <c r="P20" s="2">
        <v>10300</v>
      </c>
      <c r="Q20" s="2">
        <v>10300</v>
      </c>
      <c r="R20" s="67">
        <f>(Q20-N20)/N20</f>
        <v>-0.31333333333333335</v>
      </c>
    </row>
    <row r="21" spans="1:20" ht="12.75">
      <c r="A21" t="s">
        <v>38</v>
      </c>
      <c r="B21" s="4">
        <v>52.39</v>
      </c>
      <c r="C21" s="2"/>
      <c r="D21" s="2"/>
      <c r="E21" s="2">
        <v>634</v>
      </c>
      <c r="F21" s="2"/>
      <c r="G21" s="2">
        <v>462</v>
      </c>
      <c r="H21" s="2">
        <v>225</v>
      </c>
      <c r="I21" s="2">
        <v>200</v>
      </c>
      <c r="J21" s="2">
        <v>300</v>
      </c>
      <c r="K21" s="2">
        <v>2400</v>
      </c>
      <c r="L21" s="2">
        <v>860</v>
      </c>
      <c r="M21" s="29">
        <v>2550</v>
      </c>
      <c r="N21" s="2">
        <v>2550</v>
      </c>
      <c r="O21" s="2">
        <v>1700</v>
      </c>
      <c r="P21" s="2">
        <v>1700</v>
      </c>
      <c r="Q21" s="2">
        <v>1700</v>
      </c>
      <c r="R21" s="67">
        <f>(Q21-N21)/N21</f>
        <v>-0.3333333333333333</v>
      </c>
      <c r="T21" t="s">
        <v>489</v>
      </c>
    </row>
    <row r="22" spans="2:18" ht="12.7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9"/>
      <c r="R22" s="67"/>
    </row>
    <row r="23" spans="1:18" ht="12.75">
      <c r="A23" t="s">
        <v>39</v>
      </c>
      <c r="B23" s="4">
        <v>53.12</v>
      </c>
      <c r="C23" s="2">
        <v>360</v>
      </c>
      <c r="D23" s="2"/>
      <c r="E23" s="2">
        <v>1543</v>
      </c>
      <c r="F23" s="2">
        <v>6247</v>
      </c>
      <c r="G23" s="2">
        <v>7345</v>
      </c>
      <c r="H23" s="2">
        <v>5930</v>
      </c>
      <c r="I23" s="2">
        <v>292</v>
      </c>
      <c r="J23" s="2">
        <v>276</v>
      </c>
      <c r="K23" s="2">
        <v>228</v>
      </c>
      <c r="L23" s="2"/>
      <c r="M23" s="29">
        <v>400</v>
      </c>
      <c r="N23" s="2">
        <v>400</v>
      </c>
      <c r="O23" s="2"/>
      <c r="P23" s="2"/>
      <c r="Q23" s="2"/>
      <c r="R23" s="67">
        <f>(Q23-N23)/N23</f>
        <v>-1</v>
      </c>
    </row>
    <row r="24" spans="1:18" ht="12.75">
      <c r="A24" t="s">
        <v>250</v>
      </c>
      <c r="B24" s="4">
        <v>53.1704</v>
      </c>
      <c r="C24" s="2"/>
      <c r="D24" s="2"/>
      <c r="E24" s="2"/>
      <c r="F24" s="2"/>
      <c r="G24" s="2">
        <v>494</v>
      </c>
      <c r="H24" s="2">
        <v>128</v>
      </c>
      <c r="I24" s="2"/>
      <c r="J24" s="2">
        <v>2579</v>
      </c>
      <c r="K24" s="2">
        <v>290</v>
      </c>
      <c r="L24" s="2"/>
      <c r="M24" s="29"/>
      <c r="N24" s="2">
        <v>0</v>
      </c>
      <c r="O24" s="2"/>
      <c r="P24" s="2"/>
      <c r="Q24" s="2"/>
      <c r="R24" s="67"/>
    </row>
    <row r="25" spans="1:18" ht="12.75" hidden="1">
      <c r="A25" t="s">
        <v>249</v>
      </c>
      <c r="B25" s="4">
        <v>53.123</v>
      </c>
      <c r="C25" s="2"/>
      <c r="D25" s="2">
        <v>6411</v>
      </c>
      <c r="E25" s="2">
        <v>5514</v>
      </c>
      <c r="F25" s="2"/>
      <c r="G25" s="2"/>
      <c r="H25" s="2"/>
      <c r="I25" s="2"/>
      <c r="J25" s="2"/>
      <c r="K25" s="2"/>
      <c r="L25" s="2"/>
      <c r="M25" s="29"/>
      <c r="R25" s="67"/>
    </row>
    <row r="26" spans="1:18" ht="12.75">
      <c r="A26" t="s">
        <v>40</v>
      </c>
      <c r="B26" s="4">
        <v>53.171</v>
      </c>
      <c r="C26" s="2">
        <v>1981</v>
      </c>
      <c r="D26" s="2">
        <v>4544</v>
      </c>
      <c r="E26" s="2">
        <v>3490</v>
      </c>
      <c r="F26" s="2">
        <v>6334</v>
      </c>
      <c r="G26" s="2">
        <v>4205</v>
      </c>
      <c r="H26" s="2">
        <v>441</v>
      </c>
      <c r="I26" s="2">
        <v>337</v>
      </c>
      <c r="J26" s="2">
        <v>573</v>
      </c>
      <c r="K26" s="2">
        <v>2544</v>
      </c>
      <c r="L26" s="2">
        <v>219</v>
      </c>
      <c r="M26" s="29">
        <v>7350</v>
      </c>
      <c r="N26" s="2">
        <v>7350</v>
      </c>
      <c r="O26" s="2">
        <v>5500</v>
      </c>
      <c r="P26" s="2">
        <v>5500</v>
      </c>
      <c r="Q26" s="2">
        <v>5500</v>
      </c>
      <c r="R26" s="67">
        <f>(Q26-N26)/N26</f>
        <v>-0.25170068027210885</v>
      </c>
    </row>
    <row r="27" spans="1:18" ht="12.75">
      <c r="A27" t="s">
        <v>41</v>
      </c>
      <c r="B27" s="4">
        <v>53.172</v>
      </c>
      <c r="C27" s="2">
        <v>480</v>
      </c>
      <c r="D27" s="2"/>
      <c r="E27" s="2"/>
      <c r="F27" s="2">
        <v>680</v>
      </c>
      <c r="G27" s="2">
        <v>158</v>
      </c>
      <c r="H27" s="2"/>
      <c r="I27" s="2">
        <v>300</v>
      </c>
      <c r="J27" s="2">
        <v>347</v>
      </c>
      <c r="K27" s="2">
        <v>62</v>
      </c>
      <c r="L27" s="2"/>
      <c r="M27" s="29"/>
      <c r="N27" s="2"/>
      <c r="O27" s="2"/>
      <c r="P27" s="2"/>
      <c r="Q27" s="2"/>
      <c r="R27" s="67" t="e">
        <f>(Q27-N27)/N27</f>
        <v>#DIV/0!</v>
      </c>
    </row>
    <row r="28" spans="2:18" ht="12.75">
      <c r="B28" s="4">
        <v>53.1704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9"/>
      <c r="N28" s="2"/>
      <c r="O28" s="2"/>
      <c r="P28" s="2"/>
      <c r="Q28" s="2"/>
      <c r="R28" s="67"/>
    </row>
    <row r="29" spans="1:18" ht="12.75">
      <c r="A29" t="s">
        <v>394</v>
      </c>
      <c r="I29">
        <v>406</v>
      </c>
      <c r="M29" s="29">
        <f>(12/$L$3)*L29</f>
        <v>0</v>
      </c>
      <c r="N29" s="2"/>
      <c r="P29" s="2"/>
      <c r="Q29" s="2"/>
      <c r="R29" s="67"/>
    </row>
    <row r="30" spans="1:18" s="21" customFormat="1" ht="12.75">
      <c r="A30" s="44" t="s">
        <v>23</v>
      </c>
      <c r="B30" s="44"/>
      <c r="C30" s="45">
        <f aca="true" t="shared" si="0" ref="C30:Q30">SUM(C7:C29)</f>
        <v>28622</v>
      </c>
      <c r="D30" s="45">
        <f t="shared" si="0"/>
        <v>38749</v>
      </c>
      <c r="E30" s="45">
        <f t="shared" si="0"/>
        <v>21951</v>
      </c>
      <c r="F30" s="45">
        <f t="shared" si="0"/>
        <v>28703</v>
      </c>
      <c r="G30" s="45">
        <f t="shared" si="0"/>
        <v>25816</v>
      </c>
      <c r="H30" s="45">
        <f t="shared" si="0"/>
        <v>27615</v>
      </c>
      <c r="I30" s="45">
        <f t="shared" si="0"/>
        <v>18240</v>
      </c>
      <c r="J30" s="45">
        <v>31154</v>
      </c>
      <c r="K30" s="45">
        <f t="shared" si="0"/>
        <v>24155</v>
      </c>
      <c r="L30" s="45">
        <f t="shared" si="0"/>
        <v>6568</v>
      </c>
      <c r="M30" s="45">
        <f t="shared" si="0"/>
        <v>27455</v>
      </c>
      <c r="N30" s="45">
        <f>SUM(N7:N29)</f>
        <v>27455</v>
      </c>
      <c r="O30" s="45">
        <f>SUM(O7:O29)</f>
        <v>19965</v>
      </c>
      <c r="P30" s="45">
        <f>SUM(P7:P29)</f>
        <v>19955</v>
      </c>
      <c r="Q30" s="45">
        <f t="shared" si="0"/>
        <v>19955</v>
      </c>
      <c r="R30" s="50">
        <f>(Q30-N30)/N30</f>
        <v>-0.27317428519395376</v>
      </c>
    </row>
    <row r="31" s="21" customFormat="1" ht="12.75"/>
    <row r="32" spans="14:18" s="21" customFormat="1" ht="12.75">
      <c r="N32" s="21" t="s">
        <v>357</v>
      </c>
      <c r="P32" s="53">
        <f>O30-P30</f>
        <v>10</v>
      </c>
      <c r="Q32" s="52"/>
      <c r="R32" s="41"/>
    </row>
    <row r="33" spans="2:18" s="21" customFormat="1" ht="12.75">
      <c r="B33" s="4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1" t="s">
        <v>545</v>
      </c>
      <c r="P33" s="53">
        <f>N30-P30</f>
        <v>7500</v>
      </c>
      <c r="Q33" s="29"/>
      <c r="R33" s="49"/>
    </row>
    <row r="34" spans="1:18" s="21" customFormat="1" ht="12.75">
      <c r="A34" s="44"/>
      <c r="B34" s="4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1" t="s">
        <v>307</v>
      </c>
      <c r="P34" s="53">
        <f>P30-Q30</f>
        <v>0</v>
      </c>
      <c r="Q34" s="29"/>
      <c r="R34" s="49"/>
    </row>
    <row r="35" spans="1:18" s="21" customFormat="1" ht="12.75">
      <c r="A35"/>
      <c r="B3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9"/>
    </row>
    <row r="36" spans="1:18" s="21" customFormat="1" ht="12.75">
      <c r="A36" t="s">
        <v>624</v>
      </c>
      <c r="B3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9"/>
    </row>
    <row r="37" spans="2:18" s="21" customFormat="1" ht="12.75">
      <c r="B37" s="4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9"/>
    </row>
    <row r="38" spans="2:18" s="21" customFormat="1" ht="12.75">
      <c r="B38" s="46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9"/>
    </row>
    <row r="39" spans="1:18" s="21" customFormat="1" ht="12.75">
      <c r="A39"/>
      <c r="B39" s="4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9"/>
    </row>
    <row r="40" spans="2:18" s="21" customFormat="1" ht="12.75">
      <c r="B40" s="4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9"/>
    </row>
    <row r="41" spans="2:18" s="21" customFormat="1" ht="12.75">
      <c r="B41" s="4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9"/>
    </row>
    <row r="42" spans="2:18" s="21" customFormat="1" ht="12.75">
      <c r="B42" s="4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9"/>
    </row>
    <row r="43" spans="2:18" s="21" customFormat="1" ht="12.75">
      <c r="B43" s="4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49"/>
    </row>
    <row r="44" spans="2:18" s="21" customFormat="1" ht="12.75">
      <c r="B44" s="4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49"/>
    </row>
    <row r="45" spans="2:18" s="21" customFormat="1" ht="12.75">
      <c r="B45" s="4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49"/>
    </row>
    <row r="46" spans="2:18" s="21" customFormat="1" ht="12.75">
      <c r="B46" s="4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9"/>
    </row>
    <row r="47" spans="2:18" s="21" customFormat="1" ht="12.75">
      <c r="B47" s="4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9"/>
    </row>
    <row r="48" spans="2:18" s="21" customFormat="1" ht="12.75">
      <c r="B48" s="4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49"/>
    </row>
    <row r="49" spans="2:18" s="21" customFormat="1" ht="12.75">
      <c r="B49" s="4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49"/>
    </row>
    <row r="50" spans="2:18" s="21" customFormat="1" ht="12.75">
      <c r="B50" s="46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49"/>
    </row>
    <row r="51" spans="2:18" s="21" customFormat="1" ht="12.75">
      <c r="B51" s="46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49"/>
    </row>
    <row r="52" spans="2:18" s="21" customFormat="1" ht="12.75">
      <c r="B52" s="46"/>
      <c r="C52" s="29"/>
      <c r="D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49"/>
    </row>
    <row r="53" spans="2:18" s="21" customFormat="1" ht="12.75">
      <c r="B53" s="46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49"/>
    </row>
    <row r="54" spans="2:18" s="21" customFormat="1" ht="12.75"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9"/>
    </row>
    <row r="55" spans="2:18" s="21" customFormat="1" ht="12.75">
      <c r="B55" s="4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49"/>
    </row>
    <row r="56" spans="2:18" s="21" customFormat="1" ht="12.75">
      <c r="B56" s="4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9"/>
    </row>
    <row r="57" spans="2:18" s="21" customFormat="1" ht="12.75">
      <c r="B57" s="4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9"/>
    </row>
    <row r="58" spans="2:18" s="21" customFormat="1" ht="12.75"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9"/>
    </row>
    <row r="59" spans="2:18" s="21" customFormat="1" ht="12.75">
      <c r="B59" s="4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9"/>
    </row>
    <row r="60" s="21" customFormat="1" ht="12.75"/>
    <row r="61" spans="16:18" s="21" customFormat="1" ht="12.75">
      <c r="P61" s="53"/>
      <c r="Q61" s="52"/>
      <c r="R61" s="41"/>
    </row>
    <row r="62" s="21" customFormat="1" ht="12.75">
      <c r="P62" s="53"/>
    </row>
    <row r="105" spans="3:1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3:1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3:1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3:1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3:1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</sheetData>
  <printOptions gridLines="1"/>
  <pageMargins left="0.25" right="0.25" top="1" bottom="0.55" header="0.5" footer="0.25"/>
  <pageSetup fitToHeight="1" fitToWidth="1" horizontalDpi="300" verticalDpi="300" orientation="landscape" scale="91" r:id="rId1"/>
  <headerFooter alignWithMargins="0">
    <oddFooter>&amp;L&amp;F
&amp;A&amp;CPage &amp;P of &amp;N&amp;R&amp;D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S65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9.28125" style="0" customWidth="1"/>
    <col min="3" max="3" width="10.8515625" style="0" hidden="1" customWidth="1"/>
    <col min="4" max="4" width="8.00390625" style="0" hidden="1" customWidth="1"/>
    <col min="5" max="5" width="7.57421875" style="0" hidden="1" customWidth="1"/>
    <col min="6" max="6" width="8.00390625" style="0" hidden="1" customWidth="1"/>
    <col min="7" max="8" width="11.7109375" style="0" hidden="1" customWidth="1"/>
    <col min="9" max="12" width="11.7109375" style="0" customWidth="1"/>
    <col min="13" max="13" width="13.421875" style="0" bestFit="1" customWidth="1"/>
    <col min="14" max="14" width="11.7109375" style="0" customWidth="1"/>
    <col min="16" max="16" width="10.7109375" style="0" bestFit="1" customWidth="1"/>
    <col min="17" max="17" width="10.8515625" style="0" bestFit="1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351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 t="s">
        <v>17</v>
      </c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/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60" t="s">
        <v>22</v>
      </c>
    </row>
    <row r="7" spans="1:19" ht="12.75">
      <c r="A7" t="s">
        <v>514</v>
      </c>
      <c r="B7" s="4">
        <v>52.124</v>
      </c>
      <c r="C7" s="2"/>
      <c r="D7" s="2"/>
      <c r="E7" s="2">
        <v>4240</v>
      </c>
      <c r="F7" s="2">
        <v>5330</v>
      </c>
      <c r="G7" s="2">
        <v>3920</v>
      </c>
      <c r="H7" s="2"/>
      <c r="I7" s="2">
        <v>8602</v>
      </c>
      <c r="J7" s="2">
        <v>3600</v>
      </c>
      <c r="K7" s="2"/>
      <c r="L7" s="2"/>
      <c r="M7" s="2">
        <v>3600</v>
      </c>
      <c r="N7" s="2">
        <v>3600</v>
      </c>
      <c r="O7" s="2">
        <v>3600</v>
      </c>
      <c r="P7" s="2">
        <v>3600</v>
      </c>
      <c r="Q7" s="2"/>
      <c r="R7" s="64">
        <f>(Q7-N7)/N7</f>
        <v>-1</v>
      </c>
      <c r="S7" t="s">
        <v>375</v>
      </c>
    </row>
    <row r="8" spans="1:18" ht="12.75">
      <c r="A8" t="s">
        <v>543</v>
      </c>
      <c r="B8" s="4">
        <v>52.1313</v>
      </c>
      <c r="C8" s="2"/>
      <c r="D8" s="2"/>
      <c r="E8" s="2"/>
      <c r="F8" s="2"/>
      <c r="G8" s="2"/>
      <c r="H8" s="2"/>
      <c r="I8" s="2"/>
      <c r="J8" s="2">
        <v>2325</v>
      </c>
      <c r="K8" s="2">
        <v>3950</v>
      </c>
      <c r="L8" s="2"/>
      <c r="M8" s="2"/>
      <c r="N8" s="2"/>
      <c r="O8" s="2"/>
      <c r="P8" s="2"/>
      <c r="Q8" s="2"/>
      <c r="R8" s="64"/>
    </row>
    <row r="9" spans="1:18" ht="12.75">
      <c r="A9" t="s">
        <v>544</v>
      </c>
      <c r="B9" s="4">
        <v>52.1323</v>
      </c>
      <c r="C9" s="2"/>
      <c r="D9" s="2"/>
      <c r="E9" s="2"/>
      <c r="F9" s="2"/>
      <c r="G9" s="2"/>
      <c r="H9" s="2"/>
      <c r="I9" s="2"/>
      <c r="J9" s="2">
        <v>21132</v>
      </c>
      <c r="K9" s="2"/>
      <c r="L9" s="2"/>
      <c r="M9" s="2"/>
      <c r="N9" s="2"/>
      <c r="O9" s="2"/>
      <c r="P9" s="2"/>
      <c r="Q9" s="2"/>
      <c r="R9" s="64"/>
    </row>
    <row r="10" spans="1:18" ht="12.75">
      <c r="A10" t="s">
        <v>589</v>
      </c>
      <c r="B10" s="4"/>
      <c r="C10" s="2"/>
      <c r="D10" s="2"/>
      <c r="E10" s="2"/>
      <c r="F10" s="2"/>
      <c r="G10" s="2"/>
      <c r="H10" s="2"/>
      <c r="I10" s="2"/>
      <c r="J10" s="2">
        <v>14975</v>
      </c>
      <c r="K10" s="2"/>
      <c r="L10" s="2"/>
      <c r="M10" s="2"/>
      <c r="N10" s="2"/>
      <c r="O10" s="2"/>
      <c r="P10" s="2"/>
      <c r="Q10" s="2"/>
      <c r="R10" s="64"/>
    </row>
    <row r="11" spans="1:18" ht="12.75">
      <c r="A11" t="s">
        <v>151</v>
      </c>
      <c r="B11" s="4">
        <v>53.172</v>
      </c>
      <c r="C11" s="2">
        <v>709</v>
      </c>
      <c r="D11" s="2">
        <v>463</v>
      </c>
      <c r="E11" s="2">
        <v>2679</v>
      </c>
      <c r="F11" s="2">
        <v>2198</v>
      </c>
      <c r="G11" s="2"/>
      <c r="H11" s="2"/>
      <c r="I11" s="2">
        <v>6402</v>
      </c>
      <c r="J11" s="2"/>
      <c r="K11" s="2"/>
      <c r="L11" s="2">
        <v>1400</v>
      </c>
      <c r="M11" s="2">
        <f>+L11/$L$3*12</f>
        <v>2800</v>
      </c>
      <c r="N11" s="2"/>
      <c r="O11" s="2"/>
      <c r="P11" s="2"/>
      <c r="Q11" s="2"/>
      <c r="R11" s="64"/>
    </row>
    <row r="12" spans="1:18" ht="12.75">
      <c r="A12" t="s">
        <v>565</v>
      </c>
      <c r="B12" s="4"/>
      <c r="C12" s="2"/>
      <c r="D12" s="2"/>
      <c r="E12" s="2"/>
      <c r="F12" s="2"/>
      <c r="G12" s="2"/>
      <c r="H12" s="2"/>
      <c r="I12" s="2"/>
      <c r="J12" s="2">
        <v>20000</v>
      </c>
      <c r="K12" s="2"/>
      <c r="L12" s="2"/>
      <c r="M12" s="2"/>
      <c r="N12" s="2"/>
      <c r="O12" s="2"/>
      <c r="P12" s="2"/>
      <c r="Q12" s="2"/>
      <c r="R12" s="64"/>
    </row>
    <row r="13" spans="1:19" ht="12.75">
      <c r="A13" t="s">
        <v>197</v>
      </c>
      <c r="B13" s="4">
        <v>57.104</v>
      </c>
      <c r="C13" s="2">
        <v>80000</v>
      </c>
      <c r="D13" s="2">
        <v>82200</v>
      </c>
      <c r="E13" s="2">
        <v>87500</v>
      </c>
      <c r="F13" s="2">
        <v>87500</v>
      </c>
      <c r="G13" s="2">
        <v>90000</v>
      </c>
      <c r="H13" s="2">
        <v>67500</v>
      </c>
      <c r="I13" s="2">
        <v>90000</v>
      </c>
      <c r="J13" s="2">
        <v>90000</v>
      </c>
      <c r="K13" s="2">
        <v>90000</v>
      </c>
      <c r="L13" s="2">
        <v>45000</v>
      </c>
      <c r="M13" s="2">
        <v>90000</v>
      </c>
      <c r="N13" s="2">
        <v>90000</v>
      </c>
      <c r="O13" s="2">
        <v>95000</v>
      </c>
      <c r="P13" s="2">
        <v>90000</v>
      </c>
      <c r="Q13" s="2">
        <v>90000</v>
      </c>
      <c r="R13" s="64">
        <f>(Q13-N13)/N13</f>
        <v>0</v>
      </c>
      <c r="S13" t="s">
        <v>251</v>
      </c>
    </row>
    <row r="14" spans="1:18" ht="12.75">
      <c r="A14" t="s">
        <v>494</v>
      </c>
      <c r="B14" s="4"/>
      <c r="C14" s="2"/>
      <c r="D14" s="2"/>
      <c r="E14" s="2"/>
      <c r="F14" s="2"/>
      <c r="G14" s="2"/>
      <c r="H14" s="2"/>
      <c r="I14" s="2">
        <v>22500</v>
      </c>
      <c r="J14" s="2"/>
      <c r="K14" s="2"/>
      <c r="L14" s="2"/>
      <c r="M14" s="2"/>
      <c r="N14" s="2"/>
      <c r="O14" s="2"/>
      <c r="P14" s="2"/>
      <c r="Q14" s="2"/>
      <c r="R14" s="64"/>
    </row>
    <row r="15" spans="1:19" ht="12.75">
      <c r="A15" t="s">
        <v>604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64"/>
      <c r="S15" s="31" t="s">
        <v>374</v>
      </c>
    </row>
    <row r="16" spans="1:19" ht="12.75">
      <c r="A16" t="s">
        <v>583</v>
      </c>
      <c r="B16" s="4"/>
      <c r="C16" s="2"/>
      <c r="D16" s="2"/>
      <c r="E16" s="2"/>
      <c r="F16" s="2"/>
      <c r="G16" s="2"/>
      <c r="H16" s="2"/>
      <c r="I16" s="2"/>
      <c r="J16" s="2"/>
      <c r="K16" s="2">
        <v>539582</v>
      </c>
      <c r="L16" s="2"/>
      <c r="M16" s="2"/>
      <c r="N16" s="2"/>
      <c r="O16" s="2"/>
      <c r="P16" s="2"/>
      <c r="Q16" s="2"/>
      <c r="R16" s="64"/>
      <c r="S16" s="31" t="s">
        <v>374</v>
      </c>
    </row>
    <row r="17" spans="1:19" ht="12.75">
      <c r="A17" t="s">
        <v>520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64"/>
      <c r="S17" s="31" t="s">
        <v>374</v>
      </c>
    </row>
    <row r="18" spans="1:19" ht="12.75">
      <c r="A18" t="s">
        <v>708</v>
      </c>
      <c r="B18" s="4">
        <v>54.1009</v>
      </c>
      <c r="C18" s="2"/>
      <c r="D18" s="2"/>
      <c r="E18" s="2"/>
      <c r="F18" s="2"/>
      <c r="G18" s="2"/>
      <c r="H18" s="2"/>
      <c r="I18" s="2"/>
      <c r="J18" s="2"/>
      <c r="K18" s="2"/>
      <c r="L18" s="2">
        <v>1810</v>
      </c>
      <c r="M18" s="2">
        <v>7200</v>
      </c>
      <c r="N18" s="2"/>
      <c r="O18" s="2"/>
      <c r="P18" s="2"/>
      <c r="Q18" s="2"/>
      <c r="R18" s="64"/>
      <c r="S18" s="31" t="s">
        <v>374</v>
      </c>
    </row>
    <row r="19" spans="2:18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4"/>
    </row>
    <row r="20" spans="2:18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2"/>
      <c r="M20" s="2"/>
      <c r="N20" s="5"/>
      <c r="O20" s="5"/>
      <c r="P20" s="5"/>
      <c r="Q20" s="5"/>
      <c r="R20" s="49"/>
    </row>
    <row r="21" spans="1:18" ht="12.75">
      <c r="A21" s="6" t="s">
        <v>23</v>
      </c>
      <c r="B21" s="6"/>
      <c r="C21" s="7">
        <f aca="true" t="shared" si="0" ref="C21:H21">SUM(C7:C20)</f>
        <v>80709</v>
      </c>
      <c r="D21" s="8">
        <f t="shared" si="0"/>
        <v>82663</v>
      </c>
      <c r="E21" s="8">
        <f t="shared" si="0"/>
        <v>94419</v>
      </c>
      <c r="F21" s="8">
        <f t="shared" si="0"/>
        <v>95028</v>
      </c>
      <c r="G21" s="8">
        <f t="shared" si="0"/>
        <v>93920</v>
      </c>
      <c r="H21" s="8">
        <f t="shared" si="0"/>
        <v>67500</v>
      </c>
      <c r="I21" s="8">
        <f>SUM(I7:I20)</f>
        <v>127504</v>
      </c>
      <c r="J21" s="8">
        <v>158927</v>
      </c>
      <c r="K21" s="8">
        <f aca="true" t="shared" si="1" ref="K21:Q21">SUM(K7:K20)</f>
        <v>633532</v>
      </c>
      <c r="L21" s="8">
        <f t="shared" si="1"/>
        <v>48210</v>
      </c>
      <c r="M21" s="8">
        <f t="shared" si="1"/>
        <v>103600</v>
      </c>
      <c r="N21" s="8">
        <f t="shared" si="1"/>
        <v>93600</v>
      </c>
      <c r="O21" s="8">
        <f t="shared" si="1"/>
        <v>98600</v>
      </c>
      <c r="P21" s="8">
        <f t="shared" si="1"/>
        <v>93600</v>
      </c>
      <c r="Q21" s="8">
        <f t="shared" si="1"/>
        <v>90000</v>
      </c>
      <c r="R21" s="50">
        <f>(Q21-N21)/N21</f>
        <v>-0.038461538461538464</v>
      </c>
    </row>
    <row r="22" ht="12.75">
      <c r="R22" s="49"/>
    </row>
    <row r="23" spans="2:18" ht="12.75">
      <c r="B23" s="4"/>
      <c r="N23" s="21" t="s">
        <v>357</v>
      </c>
      <c r="O23" s="21"/>
      <c r="P23" s="53">
        <f>O21-P21</f>
        <v>5000</v>
      </c>
      <c r="R23" s="49"/>
    </row>
    <row r="24" spans="1:18" ht="12.75">
      <c r="A24" s="16"/>
      <c r="N24" s="21" t="s">
        <v>545</v>
      </c>
      <c r="O24" s="21"/>
      <c r="P24" s="53">
        <f>N21-P21</f>
        <v>0</v>
      </c>
      <c r="R24" s="49"/>
    </row>
    <row r="25" spans="1:18" ht="12.75">
      <c r="A25" s="16"/>
      <c r="N25" s="21" t="s">
        <v>307</v>
      </c>
      <c r="O25" s="21"/>
      <c r="P25" s="53">
        <f>P21-Q21</f>
        <v>3600</v>
      </c>
      <c r="R25" s="49"/>
    </row>
    <row r="26" spans="1:18" ht="12.75">
      <c r="A26" s="14" t="s">
        <v>377</v>
      </c>
      <c r="B26" t="s">
        <v>386</v>
      </c>
      <c r="R26" s="49"/>
    </row>
    <row r="27" spans="1:18" ht="12.75">
      <c r="A27" s="14" t="s">
        <v>461</v>
      </c>
      <c r="B27" t="s">
        <v>701</v>
      </c>
      <c r="R27" s="49"/>
    </row>
    <row r="28" spans="1:18" ht="12.75">
      <c r="A28" t="s">
        <v>758</v>
      </c>
      <c r="R28" s="49"/>
    </row>
    <row r="29" spans="1:18" ht="12.75">
      <c r="A29" s="6"/>
      <c r="R29" s="49"/>
    </row>
    <row r="30" ht="12.75">
      <c r="R30" s="49"/>
    </row>
    <row r="31" ht="12.75"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53" spans="3:17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60" ht="12.75">
      <c r="R60" s="2"/>
    </row>
    <row r="61" ht="12.75">
      <c r="R61" s="2"/>
    </row>
    <row r="62" ht="12.75">
      <c r="R62" s="2"/>
    </row>
    <row r="63" ht="12.75">
      <c r="R63" s="2"/>
    </row>
    <row r="64" ht="12.75">
      <c r="R64" s="2"/>
    </row>
    <row r="65" ht="12.75">
      <c r="R65" s="2"/>
    </row>
  </sheetData>
  <printOptions gridLines="1"/>
  <pageMargins left="0.25" right="0.25" top="1" bottom="0.55" header="0.5" footer="0.25"/>
  <pageSetup fitToHeight="1" fitToWidth="1" horizontalDpi="300" verticalDpi="300" orientation="landscape" scale="81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92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9.8515625" style="0" customWidth="1"/>
    <col min="3" max="3" width="0.13671875" style="0" hidden="1" customWidth="1"/>
    <col min="4" max="8" width="11.7109375" style="0" hidden="1" customWidth="1"/>
    <col min="9" max="12" width="11.7109375" style="0" customWidth="1"/>
    <col min="13" max="13" width="13.421875" style="0" bestFit="1" customWidth="1"/>
    <col min="14" max="15" width="11.7109375" style="0" customWidth="1"/>
    <col min="16" max="17" width="10.8515625" style="0" bestFit="1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352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/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37">
        <v>2008</v>
      </c>
      <c r="M6" s="37">
        <v>2008</v>
      </c>
      <c r="N6" s="37">
        <v>2008</v>
      </c>
      <c r="O6" s="37">
        <v>2009</v>
      </c>
      <c r="P6" s="37">
        <v>2009</v>
      </c>
      <c r="Q6" s="37">
        <v>2009</v>
      </c>
      <c r="R6" s="37" t="s">
        <v>650</v>
      </c>
      <c r="S6" s="60" t="s">
        <v>22</v>
      </c>
    </row>
    <row r="7" spans="1:19" ht="12.75">
      <c r="A7" t="s">
        <v>491</v>
      </c>
      <c r="B7" s="4">
        <v>51.11</v>
      </c>
      <c r="C7" s="2">
        <v>39627</v>
      </c>
      <c r="D7" s="2">
        <v>38132</v>
      </c>
      <c r="E7" s="2">
        <v>41986</v>
      </c>
      <c r="F7" s="2">
        <v>45282</v>
      </c>
      <c r="G7" s="2">
        <v>46896</v>
      </c>
      <c r="H7" s="2">
        <v>50049</v>
      </c>
      <c r="I7" s="2">
        <v>47830</v>
      </c>
      <c r="J7" s="2">
        <v>49888</v>
      </c>
      <c r="K7" s="2">
        <v>49987</v>
      </c>
      <c r="L7" s="2">
        <v>25968</v>
      </c>
      <c r="M7" s="2">
        <f aca="true" t="shared" si="0" ref="M7:M40">+L7/$L$3*12</f>
        <v>51936</v>
      </c>
      <c r="N7" s="2">
        <v>53301.701499999996</v>
      </c>
      <c r="O7" s="2">
        <v>54901</v>
      </c>
      <c r="P7" s="2">
        <v>54798.6525</v>
      </c>
      <c r="Q7" s="2">
        <v>51141.5925</v>
      </c>
      <c r="R7" s="64">
        <f>(Q7-N7)/N7</f>
        <v>-0.040526079641191134</v>
      </c>
      <c r="S7" s="2"/>
    </row>
    <row r="8" spans="1:18" ht="12.75">
      <c r="A8" t="s">
        <v>30</v>
      </c>
      <c r="B8" s="4">
        <v>51.22</v>
      </c>
      <c r="C8" s="2">
        <v>2091</v>
      </c>
      <c r="D8" s="2">
        <v>3266</v>
      </c>
      <c r="E8" s="2">
        <v>3561</v>
      </c>
      <c r="F8" s="2">
        <v>3935</v>
      </c>
      <c r="G8" s="2">
        <v>4039</v>
      </c>
      <c r="H8" s="2">
        <v>4199</v>
      </c>
      <c r="I8" s="2">
        <v>4172</v>
      </c>
      <c r="J8" s="2">
        <v>4340</v>
      </c>
      <c r="K8" s="2">
        <v>4231</v>
      </c>
      <c r="L8" s="2">
        <v>2181</v>
      </c>
      <c r="M8" s="2">
        <f t="shared" si="0"/>
        <v>4362</v>
      </c>
      <c r="N8" s="2">
        <v>4077.5801647499998</v>
      </c>
      <c r="O8" s="2">
        <v>4200</v>
      </c>
      <c r="P8" s="2">
        <f>P7*0.0765</f>
        <v>4192.09691625</v>
      </c>
      <c r="Q8" s="2">
        <f>Q7*0.0765</f>
        <v>3912.3318262499997</v>
      </c>
      <c r="R8" s="64">
        <f>(Q8-N8)/N8</f>
        <v>-0.040526079641191204</v>
      </c>
    </row>
    <row r="9" spans="1:18" ht="12.75">
      <c r="A9" t="s">
        <v>199</v>
      </c>
      <c r="B9" s="4">
        <v>51.241</v>
      </c>
      <c r="C9" s="2">
        <v>3929</v>
      </c>
      <c r="D9" s="2">
        <v>3881</v>
      </c>
      <c r="E9" s="2">
        <v>3819</v>
      </c>
      <c r="F9" s="2">
        <v>3270</v>
      </c>
      <c r="G9" s="2">
        <v>3380</v>
      </c>
      <c r="H9" s="2">
        <v>3416</v>
      </c>
      <c r="I9" s="2">
        <v>2067</v>
      </c>
      <c r="J9" s="2">
        <v>2827</v>
      </c>
      <c r="K9" s="2">
        <v>2947</v>
      </c>
      <c r="L9" s="2">
        <v>1528</v>
      </c>
      <c r="M9" s="2">
        <f t="shared" si="0"/>
        <v>3056</v>
      </c>
      <c r="N9" s="2">
        <v>3000</v>
      </c>
      <c r="O9" s="2">
        <v>3090</v>
      </c>
      <c r="P9" s="2">
        <v>3000</v>
      </c>
      <c r="Q9" s="2">
        <v>3000</v>
      </c>
      <c r="R9" s="64">
        <f>(Q9-N9)/N9</f>
        <v>0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4"/>
    </row>
    <row r="11" spans="1:19" ht="12.75">
      <c r="A11" t="s">
        <v>87</v>
      </c>
      <c r="B11" s="4">
        <v>52.211</v>
      </c>
      <c r="C11" s="2"/>
      <c r="D11" s="2"/>
      <c r="E11" s="2">
        <v>300</v>
      </c>
      <c r="F11" s="2">
        <v>135</v>
      </c>
      <c r="G11" s="2">
        <v>535</v>
      </c>
      <c r="H11" s="2">
        <v>449</v>
      </c>
      <c r="I11" s="2">
        <v>397</v>
      </c>
      <c r="J11" s="2">
        <v>380</v>
      </c>
      <c r="K11" s="2">
        <v>521</v>
      </c>
      <c r="L11" s="11">
        <v>221</v>
      </c>
      <c r="M11" s="2">
        <f t="shared" si="0"/>
        <v>442</v>
      </c>
      <c r="N11" s="2">
        <v>500</v>
      </c>
      <c r="O11" s="2">
        <v>500</v>
      </c>
      <c r="P11" s="2">
        <v>500</v>
      </c>
      <c r="Q11" s="2">
        <v>500</v>
      </c>
      <c r="R11" s="64">
        <f>(Q11-N11)/N11</f>
        <v>0</v>
      </c>
      <c r="S11" s="15"/>
    </row>
    <row r="12" spans="1:22" ht="12.75">
      <c r="A12" t="s">
        <v>53</v>
      </c>
      <c r="B12" s="4">
        <v>52.2204</v>
      </c>
      <c r="C12" s="2">
        <v>612</v>
      </c>
      <c r="D12" s="2">
        <v>781</v>
      </c>
      <c r="E12" s="2">
        <v>611</v>
      </c>
      <c r="F12" s="2">
        <v>450</v>
      </c>
      <c r="G12" s="2">
        <v>468</v>
      </c>
      <c r="H12" s="2">
        <v>486</v>
      </c>
      <c r="I12" s="2">
        <v>672</v>
      </c>
      <c r="J12" s="2">
        <v>944</v>
      </c>
      <c r="K12" s="2">
        <v>342</v>
      </c>
      <c r="L12" s="11">
        <v>227</v>
      </c>
      <c r="M12" s="2">
        <f t="shared" si="0"/>
        <v>454</v>
      </c>
      <c r="N12" s="2">
        <v>400</v>
      </c>
      <c r="O12" s="2">
        <v>800</v>
      </c>
      <c r="P12" s="2">
        <v>400</v>
      </c>
      <c r="Q12" s="2">
        <v>400</v>
      </c>
      <c r="R12" s="64">
        <f>(Q12-N12)/N12</f>
        <v>0</v>
      </c>
      <c r="V12" s="11"/>
    </row>
    <row r="13" spans="1:18" ht="12.75" hidden="1">
      <c r="A13" t="s">
        <v>90</v>
      </c>
      <c r="B13" s="4">
        <v>52.2205</v>
      </c>
      <c r="C13" s="2"/>
      <c r="D13" s="2"/>
      <c r="E13" s="2">
        <v>75</v>
      </c>
      <c r="F13" s="2"/>
      <c r="G13" s="2"/>
      <c r="H13" s="2"/>
      <c r="I13" s="2"/>
      <c r="J13" s="2"/>
      <c r="K13" s="2"/>
      <c r="M13" s="2">
        <f t="shared" si="0"/>
        <v>0</v>
      </c>
      <c r="N13" s="2"/>
      <c r="O13" s="2"/>
      <c r="P13" s="2"/>
      <c r="Q13" s="2"/>
      <c r="R13" s="64"/>
    </row>
    <row r="14" spans="1:22" ht="12.75">
      <c r="A14" t="s">
        <v>155</v>
      </c>
      <c r="B14" s="4">
        <v>52.2206</v>
      </c>
      <c r="C14" s="2"/>
      <c r="D14" s="2"/>
      <c r="E14" s="2">
        <v>25</v>
      </c>
      <c r="F14" s="2"/>
      <c r="G14" s="2">
        <v>225</v>
      </c>
      <c r="H14" s="2"/>
      <c r="I14" s="2"/>
      <c r="J14" s="2"/>
      <c r="K14" s="2">
        <v>80</v>
      </c>
      <c r="M14" s="2">
        <f t="shared" si="0"/>
        <v>0</v>
      </c>
      <c r="N14" s="2"/>
      <c r="O14" s="2"/>
      <c r="P14" s="2"/>
      <c r="Q14" s="2"/>
      <c r="R14" s="64"/>
      <c r="V14" s="11"/>
    </row>
    <row r="15" spans="1:22" ht="12.75">
      <c r="A15" t="s">
        <v>32</v>
      </c>
      <c r="B15" s="4">
        <v>52.32</v>
      </c>
      <c r="C15" s="2">
        <v>3720</v>
      </c>
      <c r="D15" s="2">
        <v>3618</v>
      </c>
      <c r="E15" s="2">
        <v>3841</v>
      </c>
      <c r="F15" s="2">
        <v>3512</v>
      </c>
      <c r="G15" s="2">
        <v>3446</v>
      </c>
      <c r="H15" s="2">
        <v>3697</v>
      </c>
      <c r="I15" s="2">
        <v>4072</v>
      </c>
      <c r="J15" s="2">
        <v>4256</v>
      </c>
      <c r="K15" s="2">
        <v>3475</v>
      </c>
      <c r="L15" s="11">
        <v>1553</v>
      </c>
      <c r="M15" s="2">
        <f t="shared" si="0"/>
        <v>3106</v>
      </c>
      <c r="N15" s="2">
        <v>3700</v>
      </c>
      <c r="O15" s="2">
        <v>3700</v>
      </c>
      <c r="P15" s="2">
        <v>3500</v>
      </c>
      <c r="Q15" s="2">
        <v>3500</v>
      </c>
      <c r="R15" s="64">
        <f>(Q15-N15)/N15</f>
        <v>-0.05405405405405406</v>
      </c>
      <c r="V15" s="11"/>
    </row>
    <row r="16" spans="1:18" ht="12.75">
      <c r="A16" t="s">
        <v>33</v>
      </c>
      <c r="B16" s="4">
        <v>52.321</v>
      </c>
      <c r="C16" s="2">
        <v>210</v>
      </c>
      <c r="D16" s="2">
        <v>244</v>
      </c>
      <c r="E16" s="2">
        <v>47</v>
      </c>
      <c r="F16" s="2">
        <v>241</v>
      </c>
      <c r="G16" s="2">
        <v>296</v>
      </c>
      <c r="H16" s="2">
        <v>259</v>
      </c>
      <c r="I16" s="2">
        <v>222</v>
      </c>
      <c r="J16" s="2">
        <v>300</v>
      </c>
      <c r="K16" s="2">
        <v>173</v>
      </c>
      <c r="L16" s="11">
        <v>84</v>
      </c>
      <c r="M16" s="2">
        <f t="shared" si="0"/>
        <v>168</v>
      </c>
      <c r="N16" s="2">
        <v>250</v>
      </c>
      <c r="O16" s="2">
        <v>250</v>
      </c>
      <c r="P16" s="2">
        <v>250</v>
      </c>
      <c r="Q16" s="2">
        <v>250</v>
      </c>
      <c r="R16" s="64">
        <f>(Q16-N16)/N16</f>
        <v>0</v>
      </c>
    </row>
    <row r="17" spans="1:18" ht="11.25" customHeight="1">
      <c r="A17" t="s">
        <v>45</v>
      </c>
      <c r="B17" s="4">
        <v>52.35</v>
      </c>
      <c r="C17" s="2">
        <v>2596</v>
      </c>
      <c r="D17" s="2">
        <v>1770</v>
      </c>
      <c r="E17" s="2">
        <v>2587</v>
      </c>
      <c r="F17" s="2">
        <v>1909</v>
      </c>
      <c r="G17" s="2">
        <v>1983</v>
      </c>
      <c r="H17" s="2">
        <v>1260</v>
      </c>
      <c r="I17" s="2">
        <v>951</v>
      </c>
      <c r="J17" s="2">
        <v>739</v>
      </c>
      <c r="K17" s="2">
        <v>641</v>
      </c>
      <c r="L17" s="11">
        <v>340</v>
      </c>
      <c r="M17" s="2">
        <f t="shared" si="0"/>
        <v>680</v>
      </c>
      <c r="N17" s="2">
        <v>800</v>
      </c>
      <c r="O17" s="2">
        <v>800</v>
      </c>
      <c r="P17" s="2">
        <v>800</v>
      </c>
      <c r="Q17" s="2">
        <v>800</v>
      </c>
      <c r="R17" s="64">
        <f>(Q17-N17)/N17</f>
        <v>0</v>
      </c>
    </row>
    <row r="18" spans="1:18" ht="12.75" hidden="1">
      <c r="A18" t="s">
        <v>35</v>
      </c>
      <c r="B18" s="4">
        <v>52.3602</v>
      </c>
      <c r="C18" s="2"/>
      <c r="D18" s="2">
        <v>200</v>
      </c>
      <c r="E18" s="2">
        <v>420</v>
      </c>
      <c r="F18" s="2">
        <v>350</v>
      </c>
      <c r="G18" s="2">
        <v>355</v>
      </c>
      <c r="H18" s="2"/>
      <c r="I18" s="2"/>
      <c r="J18" s="2"/>
      <c r="K18" s="2"/>
      <c r="M18" s="2"/>
      <c r="N18" s="2"/>
      <c r="O18" s="2"/>
      <c r="P18" s="2"/>
      <c r="Q18" s="2"/>
      <c r="R18" s="64"/>
    </row>
    <row r="19" spans="1:18" ht="12.75">
      <c r="A19" t="s">
        <v>46</v>
      </c>
      <c r="B19" s="4">
        <v>52.37</v>
      </c>
      <c r="C19" s="2"/>
      <c r="D19" s="2"/>
      <c r="E19" s="2">
        <v>650</v>
      </c>
      <c r="F19" s="2">
        <v>375</v>
      </c>
      <c r="G19" s="2">
        <v>862</v>
      </c>
      <c r="H19" s="2">
        <v>905</v>
      </c>
      <c r="I19" s="2"/>
      <c r="J19" s="2">
        <v>30</v>
      </c>
      <c r="K19" s="2">
        <v>1160</v>
      </c>
      <c r="L19" s="11">
        <v>440</v>
      </c>
      <c r="M19" s="2">
        <f t="shared" si="0"/>
        <v>880</v>
      </c>
      <c r="N19" s="2">
        <v>800</v>
      </c>
      <c r="O19" s="2">
        <v>800</v>
      </c>
      <c r="P19" s="2">
        <v>800</v>
      </c>
      <c r="Q19" s="2">
        <v>800</v>
      </c>
      <c r="R19" s="64"/>
    </row>
    <row r="20" spans="2:18" ht="12.75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4"/>
    </row>
    <row r="21" spans="1:19" ht="12.75">
      <c r="A21" t="s">
        <v>39</v>
      </c>
      <c r="B21" s="4">
        <v>53.12</v>
      </c>
      <c r="C21" s="2">
        <v>7013</v>
      </c>
      <c r="D21" s="2">
        <v>6976</v>
      </c>
      <c r="E21" s="2">
        <v>142</v>
      </c>
      <c r="F21" s="2">
        <v>6704</v>
      </c>
      <c r="G21" s="2">
        <v>8790</v>
      </c>
      <c r="H21" s="2">
        <v>8778</v>
      </c>
      <c r="I21" s="2">
        <v>7996</v>
      </c>
      <c r="J21" s="2">
        <v>6842</v>
      </c>
      <c r="K21" s="2">
        <v>6607</v>
      </c>
      <c r="L21" s="2">
        <v>3704</v>
      </c>
      <c r="M21" s="2">
        <f t="shared" si="0"/>
        <v>7408</v>
      </c>
      <c r="N21" s="2">
        <v>6500</v>
      </c>
      <c r="O21" s="2">
        <v>7800</v>
      </c>
      <c r="P21" s="2">
        <v>7400</v>
      </c>
      <c r="Q21" s="2">
        <v>7400</v>
      </c>
      <c r="R21" s="64">
        <f>(Q21-N21)/N21</f>
        <v>0.13846153846153847</v>
      </c>
      <c r="S21" t="s">
        <v>251</v>
      </c>
    </row>
    <row r="22" spans="1:18" ht="12.75" hidden="1">
      <c r="A22" t="s">
        <v>262</v>
      </c>
      <c r="B22" s="4">
        <v>53.121</v>
      </c>
      <c r="C22" s="2"/>
      <c r="D22" s="2"/>
      <c r="E22" s="2">
        <v>544</v>
      </c>
      <c r="F22" s="2"/>
      <c r="G22" s="2"/>
      <c r="H22" s="2"/>
      <c r="I22" s="2"/>
      <c r="J22" s="2"/>
      <c r="K22" s="2"/>
      <c r="M22" s="2">
        <f t="shared" si="0"/>
        <v>0</v>
      </c>
      <c r="N22" s="2"/>
      <c r="O22" s="2"/>
      <c r="P22" s="2"/>
      <c r="Q22" s="2"/>
      <c r="R22" s="64"/>
    </row>
    <row r="23" spans="1:18" ht="12.75" hidden="1">
      <c r="A23" t="s">
        <v>263</v>
      </c>
      <c r="B23" s="4">
        <v>53.122</v>
      </c>
      <c r="C23" s="2"/>
      <c r="D23" s="2"/>
      <c r="E23" s="2">
        <v>1666</v>
      </c>
      <c r="F23" s="2"/>
      <c r="G23" s="2"/>
      <c r="H23" s="2"/>
      <c r="I23" s="2"/>
      <c r="J23" s="2"/>
      <c r="K23" s="2"/>
      <c r="M23" s="2">
        <f t="shared" si="0"/>
        <v>0</v>
      </c>
      <c r="N23" s="2"/>
      <c r="O23" s="2"/>
      <c r="P23" s="2"/>
      <c r="Q23" s="2"/>
      <c r="R23" s="64"/>
    </row>
    <row r="24" spans="1:18" ht="12.75" hidden="1">
      <c r="A24" t="s">
        <v>249</v>
      </c>
      <c r="B24" s="4">
        <v>53.123</v>
      </c>
      <c r="C24" s="2"/>
      <c r="D24" s="2"/>
      <c r="E24" s="2">
        <v>5115</v>
      </c>
      <c r="F24" s="2"/>
      <c r="G24" s="2"/>
      <c r="H24" s="2"/>
      <c r="I24" s="2"/>
      <c r="J24" s="2"/>
      <c r="K24" s="2"/>
      <c r="M24" s="2">
        <f t="shared" si="0"/>
        <v>0</v>
      </c>
      <c r="N24" s="2"/>
      <c r="O24" s="2"/>
      <c r="P24" s="2"/>
      <c r="Q24" s="2"/>
      <c r="R24" s="64"/>
    </row>
    <row r="25" spans="1:18" ht="12.75">
      <c r="A25" t="s">
        <v>91</v>
      </c>
      <c r="B25" s="4">
        <v>53.1702</v>
      </c>
      <c r="C25" s="2">
        <v>135</v>
      </c>
      <c r="D25" s="2">
        <v>76</v>
      </c>
      <c r="E25" s="2">
        <v>3</v>
      </c>
      <c r="F25" s="2"/>
      <c r="G25" s="2">
        <v>26</v>
      </c>
      <c r="H25" s="2">
        <v>153</v>
      </c>
      <c r="I25" s="2">
        <v>89</v>
      </c>
      <c r="J25" s="2">
        <v>78</v>
      </c>
      <c r="K25" s="2">
        <v>103</v>
      </c>
      <c r="L25" s="2"/>
      <c r="M25" s="2">
        <f t="shared" si="0"/>
        <v>0</v>
      </c>
      <c r="N25" s="2">
        <v>100</v>
      </c>
      <c r="O25" s="2">
        <v>100</v>
      </c>
      <c r="P25" s="2">
        <v>100</v>
      </c>
      <c r="Q25" s="2">
        <v>100</v>
      </c>
      <c r="R25" s="64">
        <f>(Q25-N25)/N25</f>
        <v>0</v>
      </c>
    </row>
    <row r="26" spans="1:18" ht="12.75">
      <c r="A26" t="s">
        <v>40</v>
      </c>
      <c r="B26" s="4">
        <v>53.171</v>
      </c>
      <c r="C26" s="2">
        <v>1384</v>
      </c>
      <c r="D26" s="2">
        <v>1110</v>
      </c>
      <c r="E26" s="2">
        <v>1426</v>
      </c>
      <c r="F26" s="2">
        <v>1292</v>
      </c>
      <c r="G26" s="2">
        <v>1336</v>
      </c>
      <c r="H26" s="2">
        <v>864</v>
      </c>
      <c r="I26" s="2">
        <v>887</v>
      </c>
      <c r="J26" s="2">
        <v>1170</v>
      </c>
      <c r="K26" s="2">
        <v>1560</v>
      </c>
      <c r="L26" s="2">
        <v>1449</v>
      </c>
      <c r="M26" s="2">
        <f t="shared" si="0"/>
        <v>2898</v>
      </c>
      <c r="N26" s="2">
        <v>1100</v>
      </c>
      <c r="O26" s="2">
        <v>1100</v>
      </c>
      <c r="P26" s="2">
        <v>1100</v>
      </c>
      <c r="Q26" s="2">
        <v>1100</v>
      </c>
      <c r="R26" s="64">
        <f>(Q26-N26)/N26</f>
        <v>0</v>
      </c>
    </row>
    <row r="27" spans="1:18" ht="12.75">
      <c r="A27" t="s">
        <v>151</v>
      </c>
      <c r="B27" s="4">
        <v>53.172</v>
      </c>
      <c r="C27" s="2">
        <v>2504</v>
      </c>
      <c r="D27" s="2">
        <v>2703</v>
      </c>
      <c r="E27" s="2">
        <v>671</v>
      </c>
      <c r="F27" s="2">
        <v>969</v>
      </c>
      <c r="G27" s="2">
        <v>647</v>
      </c>
      <c r="H27" s="2">
        <v>384</v>
      </c>
      <c r="I27" s="2">
        <v>419</v>
      </c>
      <c r="J27" s="2">
        <v>538</v>
      </c>
      <c r="K27" s="2">
        <v>543</v>
      </c>
      <c r="L27" s="2">
        <v>31</v>
      </c>
      <c r="M27" s="2">
        <f t="shared" si="0"/>
        <v>62</v>
      </c>
      <c r="N27" s="2">
        <v>450</v>
      </c>
      <c r="O27" s="2">
        <v>450</v>
      </c>
      <c r="P27" s="2">
        <v>450</v>
      </c>
      <c r="Q27" s="2">
        <v>450</v>
      </c>
      <c r="R27" s="64">
        <f>(Q27-N27)/N27</f>
        <v>0</v>
      </c>
    </row>
    <row r="28" spans="1:18" ht="12.75">
      <c r="A28" t="s">
        <v>79</v>
      </c>
      <c r="B28" s="4">
        <v>53.175</v>
      </c>
      <c r="C28" s="2">
        <v>6</v>
      </c>
      <c r="D28" s="2">
        <v>38</v>
      </c>
      <c r="E28" s="2">
        <v>51</v>
      </c>
      <c r="F28" s="2">
        <v>15</v>
      </c>
      <c r="G28" s="2">
        <v>576</v>
      </c>
      <c r="H28" s="2">
        <v>93</v>
      </c>
      <c r="I28" s="2">
        <v>73</v>
      </c>
      <c r="J28" s="2">
        <v>23</v>
      </c>
      <c r="K28" s="2">
        <v>1083</v>
      </c>
      <c r="L28" s="2">
        <v>302</v>
      </c>
      <c r="M28" s="2">
        <f t="shared" si="0"/>
        <v>604</v>
      </c>
      <c r="N28" s="2">
        <v>100</v>
      </c>
      <c r="O28" s="2">
        <v>200</v>
      </c>
      <c r="P28" s="2">
        <v>100</v>
      </c>
      <c r="Q28" s="2">
        <v>100</v>
      </c>
      <c r="R28" s="64">
        <f>(Q28-N28)/N28</f>
        <v>0</v>
      </c>
    </row>
    <row r="29" spans="1:18" ht="12.75">
      <c r="A29" t="s">
        <v>68</v>
      </c>
      <c r="B29" s="4">
        <v>53.176</v>
      </c>
      <c r="C29" s="2">
        <v>12</v>
      </c>
      <c r="D29" s="2">
        <v>14</v>
      </c>
      <c r="E29" s="2">
        <v>31</v>
      </c>
      <c r="F29" s="2">
        <v>21</v>
      </c>
      <c r="G29" s="2">
        <v>44</v>
      </c>
      <c r="H29" s="2">
        <v>22</v>
      </c>
      <c r="I29" s="2">
        <v>32</v>
      </c>
      <c r="J29" s="2">
        <v>24</v>
      </c>
      <c r="K29" s="2">
        <v>53</v>
      </c>
      <c r="L29" s="2">
        <v>13</v>
      </c>
      <c r="M29" s="2">
        <f t="shared" si="0"/>
        <v>26</v>
      </c>
      <c r="N29" s="2">
        <v>50</v>
      </c>
      <c r="O29" s="2">
        <v>50</v>
      </c>
      <c r="P29" s="2">
        <v>50</v>
      </c>
      <c r="Q29" s="2">
        <v>50</v>
      </c>
      <c r="R29" s="64">
        <f>(Q29-N29)/N29</f>
        <v>0</v>
      </c>
    </row>
    <row r="30" spans="1:18" ht="12.75">
      <c r="A30" t="s">
        <v>401</v>
      </c>
      <c r="B30" s="4">
        <v>53.177</v>
      </c>
      <c r="C30" s="2"/>
      <c r="D30" s="2"/>
      <c r="E30" s="2"/>
      <c r="F30" s="2"/>
      <c r="G30" s="2">
        <v>344</v>
      </c>
      <c r="H30" s="2"/>
      <c r="I30" s="2">
        <v>162</v>
      </c>
      <c r="J30" s="2"/>
      <c r="K30" s="2">
        <v>722</v>
      </c>
      <c r="L30" s="2"/>
      <c r="M30" s="2">
        <f t="shared" si="0"/>
        <v>0</v>
      </c>
      <c r="N30" s="2">
        <v>150</v>
      </c>
      <c r="O30" s="2">
        <v>150</v>
      </c>
      <c r="P30" s="2">
        <v>150</v>
      </c>
      <c r="Q30" s="2">
        <v>150</v>
      </c>
      <c r="R30" s="64"/>
    </row>
    <row r="31" spans="1:18" ht="12.75">
      <c r="A31" t="s">
        <v>70</v>
      </c>
      <c r="B31" s="4">
        <v>53.179</v>
      </c>
      <c r="C31" s="2">
        <v>324</v>
      </c>
      <c r="D31" s="2">
        <v>655</v>
      </c>
      <c r="E31" s="2">
        <v>813</v>
      </c>
      <c r="F31" s="2">
        <v>507</v>
      </c>
      <c r="G31" s="2">
        <v>672</v>
      </c>
      <c r="H31" s="2">
        <v>617</v>
      </c>
      <c r="I31" s="2">
        <v>1004</v>
      </c>
      <c r="J31" s="2">
        <v>1233</v>
      </c>
      <c r="K31" s="2">
        <v>1808</v>
      </c>
      <c r="L31" s="2">
        <v>945</v>
      </c>
      <c r="M31" s="2">
        <f t="shared" si="0"/>
        <v>1890</v>
      </c>
      <c r="N31" s="2">
        <v>1200</v>
      </c>
      <c r="O31" s="2">
        <v>1600</v>
      </c>
      <c r="P31" s="2">
        <v>1600</v>
      </c>
      <c r="Q31" s="2">
        <v>1600</v>
      </c>
      <c r="R31" s="64">
        <f>(Q31-N31)/N31</f>
        <v>0.3333333333333333</v>
      </c>
    </row>
    <row r="32" spans="1:18" ht="12.75" hidden="1">
      <c r="A32" t="s">
        <v>66</v>
      </c>
      <c r="B32" s="4">
        <v>52.2206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64"/>
    </row>
    <row r="33" spans="1:18" ht="12.75">
      <c r="A33" t="s">
        <v>82</v>
      </c>
      <c r="B33" s="4"/>
      <c r="C33" s="2"/>
      <c r="D33" s="2"/>
      <c r="E33" s="2"/>
      <c r="F33" s="2"/>
      <c r="G33" s="2"/>
      <c r="H33" s="2"/>
      <c r="I33" s="2"/>
      <c r="J33" s="2"/>
      <c r="K33" s="2">
        <v>180</v>
      </c>
      <c r="L33" s="2"/>
      <c r="M33" s="2"/>
      <c r="N33" s="2"/>
      <c r="O33" s="2"/>
      <c r="P33" s="2"/>
      <c r="Q33" s="2"/>
      <c r="R33" s="64"/>
    </row>
    <row r="34" spans="1:18" ht="12.75">
      <c r="A34" t="s">
        <v>704</v>
      </c>
      <c r="B34" s="4">
        <v>53.1737</v>
      </c>
      <c r="C34" s="2"/>
      <c r="D34" s="2"/>
      <c r="E34" s="2"/>
      <c r="F34" s="2"/>
      <c r="G34" s="2"/>
      <c r="H34" s="2"/>
      <c r="I34" s="2">
        <v>85</v>
      </c>
      <c r="J34" s="2"/>
      <c r="K34" s="2"/>
      <c r="L34" s="2">
        <v>418</v>
      </c>
      <c r="M34" s="2">
        <v>418</v>
      </c>
      <c r="N34" s="2"/>
      <c r="O34" s="2"/>
      <c r="P34" s="2"/>
      <c r="Q34" s="2"/>
      <c r="R34" s="64"/>
    </row>
    <row r="35" spans="1:19" ht="12.75">
      <c r="A35" t="s">
        <v>246</v>
      </c>
      <c r="B35" s="4"/>
      <c r="C35" s="2"/>
      <c r="D35" s="2"/>
      <c r="E35" s="2"/>
      <c r="F35" s="2"/>
      <c r="G35" s="2"/>
      <c r="H35" s="2">
        <v>800</v>
      </c>
      <c r="I35" s="2">
        <v>900</v>
      </c>
      <c r="J35" s="2">
        <v>425</v>
      </c>
      <c r="K35" s="2">
        <v>700</v>
      </c>
      <c r="L35" s="2"/>
      <c r="M35" s="2"/>
      <c r="N35" s="2"/>
      <c r="O35" s="2"/>
      <c r="P35" s="2"/>
      <c r="Q35" s="2"/>
      <c r="R35" s="64"/>
      <c r="S35" s="10"/>
    </row>
    <row r="36" spans="1:18" ht="12.75">
      <c r="A36" t="s">
        <v>372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64"/>
    </row>
    <row r="37" spans="1:18" ht="12.75">
      <c r="A37" t="s">
        <v>264</v>
      </c>
      <c r="B37" s="4">
        <v>54.24</v>
      </c>
      <c r="C37" s="2"/>
      <c r="D37" s="2"/>
      <c r="E37" s="2"/>
      <c r="F37" s="2"/>
      <c r="G37" s="2"/>
      <c r="H37" s="2"/>
      <c r="I37" s="2"/>
      <c r="J37" s="2">
        <v>6495</v>
      </c>
      <c r="K37" s="2">
        <v>1364</v>
      </c>
      <c r="L37" s="2"/>
      <c r="M37" s="2"/>
      <c r="N37" s="2"/>
      <c r="O37" s="2"/>
      <c r="P37" s="2"/>
      <c r="Q37" s="2"/>
      <c r="R37" s="64"/>
    </row>
    <row r="38" spans="1:18" ht="12.75">
      <c r="A38" t="s">
        <v>373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64"/>
    </row>
    <row r="39" spans="1:18" ht="12.75">
      <c r="A39" t="s">
        <v>69</v>
      </c>
      <c r="B39" s="4" t="s">
        <v>24</v>
      </c>
      <c r="C39" s="2">
        <v>69</v>
      </c>
      <c r="D39" s="2">
        <v>268</v>
      </c>
      <c r="E39" s="2"/>
      <c r="F39" s="2"/>
      <c r="G39" s="2"/>
      <c r="H39" s="2"/>
      <c r="I39" s="2"/>
      <c r="J39" s="2"/>
      <c r="K39" s="2"/>
      <c r="L39" s="2"/>
      <c r="M39" s="2">
        <f t="shared" si="0"/>
        <v>0</v>
      </c>
      <c r="N39" s="2"/>
      <c r="O39" s="2"/>
      <c r="P39" s="2"/>
      <c r="Q39" s="2"/>
      <c r="R39" s="64"/>
    </row>
    <row r="40" spans="1:18" ht="12.75">
      <c r="A40" t="s">
        <v>218</v>
      </c>
      <c r="B40" s="4" t="s">
        <v>24</v>
      </c>
      <c r="C40" s="2"/>
      <c r="D40" s="2">
        <v>300</v>
      </c>
      <c r="E40" s="2"/>
      <c r="F40" s="2"/>
      <c r="G40" s="2"/>
      <c r="H40" s="2"/>
      <c r="I40" s="2"/>
      <c r="J40" s="2"/>
      <c r="K40" s="2"/>
      <c r="L40" s="2"/>
      <c r="M40" s="2">
        <f t="shared" si="0"/>
        <v>0</v>
      </c>
      <c r="N40" s="2"/>
      <c r="O40" s="2"/>
      <c r="P40" s="2"/>
      <c r="Q40" s="2"/>
      <c r="R40" s="64"/>
    </row>
    <row r="41" spans="1:18" ht="12.75">
      <c r="A41" t="s">
        <v>611</v>
      </c>
      <c r="B41" s="4"/>
      <c r="C41" s="5"/>
      <c r="D41" s="5"/>
      <c r="E41" s="5"/>
      <c r="F41" s="5"/>
      <c r="G41" s="5"/>
      <c r="H41" s="5"/>
      <c r="I41" s="5"/>
      <c r="J41" s="5"/>
      <c r="K41" s="5">
        <v>3018</v>
      </c>
      <c r="L41" s="2"/>
      <c r="M41" s="2"/>
      <c r="N41" s="5"/>
      <c r="O41" s="5"/>
      <c r="P41" s="5"/>
      <c r="Q41" s="5"/>
      <c r="R41" s="49"/>
    </row>
    <row r="42" spans="1:18" ht="12.75">
      <c r="A42" s="6" t="s">
        <v>23</v>
      </c>
      <c r="B42" s="6"/>
      <c r="C42" s="7">
        <f aca="true" t="shared" si="1" ref="C42:I42">SUM(C7:C41)</f>
        <v>64232</v>
      </c>
      <c r="D42" s="8">
        <f t="shared" si="1"/>
        <v>64032</v>
      </c>
      <c r="E42" s="8">
        <f t="shared" si="1"/>
        <v>68384</v>
      </c>
      <c r="F42" s="8">
        <f t="shared" si="1"/>
        <v>68967</v>
      </c>
      <c r="G42" s="8">
        <f t="shared" si="1"/>
        <v>74920</v>
      </c>
      <c r="H42" s="8">
        <f t="shared" si="1"/>
        <v>76431</v>
      </c>
      <c r="I42" s="8">
        <f t="shared" si="1"/>
        <v>72030</v>
      </c>
      <c r="J42" s="8">
        <v>81267</v>
      </c>
      <c r="K42" s="8">
        <f aca="true" t="shared" si="2" ref="K42:Q42">SUM(K7:K41)</f>
        <v>81298</v>
      </c>
      <c r="L42" s="8">
        <f t="shared" si="2"/>
        <v>39404</v>
      </c>
      <c r="M42" s="8">
        <f t="shared" si="2"/>
        <v>78390</v>
      </c>
      <c r="N42" s="8">
        <f>SUM(N7:N41)</f>
        <v>76479.28166474999</v>
      </c>
      <c r="O42" s="8">
        <f t="shared" si="2"/>
        <v>80491</v>
      </c>
      <c r="P42" s="8">
        <f>SUM(P7:P41)</f>
        <v>79190.74941625</v>
      </c>
      <c r="Q42" s="8">
        <f t="shared" si="2"/>
        <v>75253.92432625</v>
      </c>
      <c r="R42" s="49">
        <f>(Q42-N42)/N42</f>
        <v>-0.016022082213996126</v>
      </c>
    </row>
    <row r="43" ht="12.75">
      <c r="R43" s="49"/>
    </row>
    <row r="44" spans="14:18" ht="12.75">
      <c r="N44" s="21" t="s">
        <v>357</v>
      </c>
      <c r="O44" s="21"/>
      <c r="P44" s="53">
        <f>O42-P42</f>
        <v>1300.2505837500066</v>
      </c>
      <c r="R44" s="49"/>
    </row>
    <row r="45" spans="14:18" ht="12.75">
      <c r="N45" s="21" t="s">
        <v>545</v>
      </c>
      <c r="O45" s="21"/>
      <c r="P45" s="53">
        <f>N42-P42</f>
        <v>-2711.4677515000076</v>
      </c>
      <c r="R45" s="49"/>
    </row>
    <row r="46" spans="14:18" ht="12.75">
      <c r="N46" s="21" t="s">
        <v>307</v>
      </c>
      <c r="O46" s="21"/>
      <c r="P46" s="53">
        <f>P42-Q42</f>
        <v>3936.8250899999985</v>
      </c>
      <c r="R46" s="49"/>
    </row>
    <row r="47" spans="14:18" ht="12.75">
      <c r="N47" s="21"/>
      <c r="O47" s="21"/>
      <c r="P47" s="53"/>
      <c r="R47" s="49"/>
    </row>
    <row r="48" spans="1:18" ht="12.75">
      <c r="A48" s="31" t="s">
        <v>251</v>
      </c>
      <c r="B48" s="31" t="s">
        <v>462</v>
      </c>
      <c r="R48" s="49"/>
    </row>
    <row r="49" ht="12.75">
      <c r="R49" s="49"/>
    </row>
    <row r="50" spans="1:18" ht="12.75">
      <c r="A50" s="6"/>
      <c r="R50" s="49"/>
    </row>
    <row r="51" ht="12.75">
      <c r="R51" s="49"/>
    </row>
    <row r="52" ht="12.75">
      <c r="R52" s="49"/>
    </row>
    <row r="53" ht="12.75">
      <c r="R53" s="49"/>
    </row>
    <row r="54" ht="12.75">
      <c r="R54" s="49"/>
    </row>
    <row r="55" ht="12.75">
      <c r="R55" s="49"/>
    </row>
    <row r="56" ht="12.75">
      <c r="R56" s="49"/>
    </row>
    <row r="69" ht="12.75">
      <c r="R69" s="2"/>
    </row>
    <row r="70" ht="12.75">
      <c r="R70" s="2"/>
    </row>
    <row r="71" ht="12.75">
      <c r="R71" s="2"/>
    </row>
    <row r="72" ht="12.75">
      <c r="R72" s="2"/>
    </row>
    <row r="73" ht="12.75">
      <c r="R73" s="2"/>
    </row>
    <row r="74" ht="12.75">
      <c r="R74" s="2"/>
    </row>
    <row r="87" spans="3:17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3:17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3:17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3:17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3:17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17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T70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0.13671875" style="0" hidden="1" customWidth="1"/>
    <col min="8" max="8" width="11.7109375" style="0" hidden="1" customWidth="1"/>
    <col min="9" max="12" width="11.7109375" style="0" customWidth="1"/>
    <col min="13" max="13" width="13.421875" style="0" bestFit="1" customWidth="1"/>
    <col min="14" max="14" width="11.7109375" style="0" customWidth="1"/>
    <col min="15" max="15" width="9.7109375" style="0" bestFit="1" customWidth="1"/>
    <col min="16" max="16" width="10.7109375" style="0" bestFit="1" customWidth="1"/>
    <col min="17" max="17" width="9.7109375" style="0" bestFit="1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353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37">
        <v>2008</v>
      </c>
      <c r="M6" s="37">
        <v>2008</v>
      </c>
      <c r="N6" s="37">
        <v>2008</v>
      </c>
      <c r="O6" s="37">
        <v>2009</v>
      </c>
      <c r="P6" s="37">
        <v>2009</v>
      </c>
      <c r="Q6" s="37">
        <v>2009</v>
      </c>
      <c r="R6" s="37" t="s">
        <v>650</v>
      </c>
      <c r="S6" s="60" t="s">
        <v>22</v>
      </c>
    </row>
    <row r="7" spans="1:19" ht="12.75">
      <c r="A7" t="s">
        <v>515</v>
      </c>
      <c r="B7" s="4">
        <v>57.105</v>
      </c>
      <c r="C7" s="2">
        <v>1878</v>
      </c>
      <c r="D7" s="2">
        <v>1408</v>
      </c>
      <c r="E7" s="2">
        <v>1878</v>
      </c>
      <c r="F7" s="2">
        <v>2340</v>
      </c>
      <c r="G7" s="2">
        <v>2340</v>
      </c>
      <c r="H7" s="2">
        <v>2340</v>
      </c>
      <c r="I7" s="2">
        <v>2340</v>
      </c>
      <c r="J7" s="2">
        <v>2340</v>
      </c>
      <c r="K7" s="2">
        <v>2352</v>
      </c>
      <c r="L7" s="2">
        <v>2352</v>
      </c>
      <c r="M7" s="2">
        <v>2352</v>
      </c>
      <c r="N7" s="2">
        <v>2340</v>
      </c>
      <c r="O7" s="2">
        <v>2352</v>
      </c>
      <c r="P7" s="2">
        <v>2352</v>
      </c>
      <c r="Q7" s="2">
        <v>0</v>
      </c>
      <c r="R7" s="64">
        <f>(Q7-N7)/N7</f>
        <v>-1</v>
      </c>
      <c r="S7" t="s">
        <v>256</v>
      </c>
    </row>
    <row r="8" spans="2:18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9"/>
    </row>
    <row r="9" spans="1:18" ht="12.75">
      <c r="A9" s="6" t="s">
        <v>23</v>
      </c>
      <c r="B9" s="6"/>
      <c r="C9" s="7">
        <f aca="true" t="shared" si="0" ref="C9:I9">SUM(C7:C8)</f>
        <v>1878</v>
      </c>
      <c r="D9" s="8">
        <f t="shared" si="0"/>
        <v>1408</v>
      </c>
      <c r="E9" s="8">
        <f t="shared" si="0"/>
        <v>1878</v>
      </c>
      <c r="F9" s="8">
        <f t="shared" si="0"/>
        <v>2340</v>
      </c>
      <c r="G9" s="8">
        <f t="shared" si="0"/>
        <v>2340</v>
      </c>
      <c r="H9" s="8">
        <f t="shared" si="0"/>
        <v>2340</v>
      </c>
      <c r="I9" s="8">
        <f t="shared" si="0"/>
        <v>2340</v>
      </c>
      <c r="J9" s="8">
        <v>2340</v>
      </c>
      <c r="K9" s="8">
        <f aca="true" t="shared" si="1" ref="K9:Q9">SUM(K7:K8)</f>
        <v>2352</v>
      </c>
      <c r="L9" s="8">
        <f t="shared" si="1"/>
        <v>2352</v>
      </c>
      <c r="M9" s="8">
        <f t="shared" si="1"/>
        <v>2352</v>
      </c>
      <c r="N9" s="8">
        <f t="shared" si="1"/>
        <v>2340</v>
      </c>
      <c r="O9" s="8">
        <f t="shared" si="1"/>
        <v>2352</v>
      </c>
      <c r="P9" s="8">
        <f t="shared" si="1"/>
        <v>2352</v>
      </c>
      <c r="Q9" s="8">
        <f t="shared" si="1"/>
        <v>0</v>
      </c>
      <c r="R9" s="68">
        <f>(Q9-N9)/N9</f>
        <v>-1</v>
      </c>
    </row>
    <row r="10" ht="12.75">
      <c r="R10" s="49"/>
    </row>
    <row r="11" spans="14:18" ht="12.75">
      <c r="N11" s="21" t="s">
        <v>357</v>
      </c>
      <c r="O11" s="21"/>
      <c r="P11" s="53">
        <f>O9-P9</f>
        <v>0</v>
      </c>
      <c r="R11" s="49"/>
    </row>
    <row r="12" spans="14:18" ht="12.75">
      <c r="N12" s="21" t="s">
        <v>545</v>
      </c>
      <c r="O12" s="21"/>
      <c r="P12" s="53">
        <f>N9-P9</f>
        <v>-12</v>
      </c>
      <c r="R12" s="49"/>
    </row>
    <row r="13" spans="1:18" ht="12.75">
      <c r="A13" s="6" t="s">
        <v>759</v>
      </c>
      <c r="N13" s="21" t="s">
        <v>307</v>
      </c>
      <c r="O13" s="21"/>
      <c r="P13" s="53">
        <f>P9-Q9</f>
        <v>2352</v>
      </c>
      <c r="R13" s="49"/>
    </row>
    <row r="14" spans="1:18" ht="12.75">
      <c r="A14" s="6"/>
      <c r="R14" s="49"/>
    </row>
    <row r="15" spans="1:18" ht="12.75">
      <c r="A15" s="6"/>
      <c r="R15" s="49"/>
    </row>
    <row r="16" ht="12.75">
      <c r="R16" s="49"/>
    </row>
    <row r="17" ht="12.75">
      <c r="R17" s="49"/>
    </row>
    <row r="18" ht="12.75">
      <c r="R18" s="49"/>
    </row>
    <row r="19" ht="12.75">
      <c r="R19" s="49"/>
    </row>
    <row r="20" spans="18:20" ht="12.75">
      <c r="R20" s="49"/>
      <c r="T20" t="s">
        <v>489</v>
      </c>
    </row>
    <row r="21" ht="12.75">
      <c r="R21" s="49"/>
    </row>
    <row r="22" ht="12.75">
      <c r="R22" s="49"/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31" ht="12.75"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48" ht="12.75">
      <c r="R48" s="49"/>
    </row>
    <row r="49" ht="12.75">
      <c r="R49" s="49"/>
    </row>
    <row r="50" ht="12.75">
      <c r="R50" s="49"/>
    </row>
    <row r="51" ht="12.75">
      <c r="R51" s="49"/>
    </row>
    <row r="52" ht="12.75">
      <c r="R52" s="49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5" ht="12.75">
      <c r="R65" s="2"/>
    </row>
    <row r="66" ht="12.75">
      <c r="R66" s="2"/>
    </row>
    <row r="67" ht="12.75">
      <c r="R67" s="2"/>
    </row>
    <row r="68" ht="12.75">
      <c r="R68" s="2"/>
    </row>
    <row r="69" ht="12.75">
      <c r="R69" s="2"/>
    </row>
    <row r="70" ht="12.75">
      <c r="R70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T95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57421875" style="0" hidden="1" customWidth="1"/>
    <col min="4" max="4" width="9.140625" style="0" hidden="1" customWidth="1"/>
    <col min="5" max="5" width="8.00390625" style="0" hidden="1" customWidth="1"/>
    <col min="6" max="8" width="8.7109375" style="0" hidden="1" customWidth="1"/>
    <col min="9" max="11" width="8.7109375" style="0" customWidth="1"/>
    <col min="12" max="13" width="8.00390625" style="0" bestFit="1" customWidth="1"/>
    <col min="14" max="14" width="10.7109375" style="0" customWidth="1"/>
    <col min="15" max="15" width="11.7109375" style="0" customWidth="1"/>
    <col min="16" max="16" width="10.7109375" style="0" bestFit="1" customWidth="1"/>
    <col min="17" max="17" width="8.7109375" style="0" bestFit="1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354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 t="s">
        <v>328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37">
        <v>2008</v>
      </c>
      <c r="M6" s="37">
        <v>2008</v>
      </c>
      <c r="N6" s="37">
        <v>2008</v>
      </c>
      <c r="O6" s="37">
        <v>2009</v>
      </c>
      <c r="P6" s="37">
        <v>2009</v>
      </c>
      <c r="Q6" s="37">
        <v>2009</v>
      </c>
      <c r="R6" s="37" t="s">
        <v>650</v>
      </c>
      <c r="S6" s="3" t="s">
        <v>22</v>
      </c>
    </row>
    <row r="7" spans="1:19" ht="12.75">
      <c r="A7" t="s">
        <v>490</v>
      </c>
      <c r="B7" s="4">
        <v>51.11</v>
      </c>
      <c r="C7" s="1"/>
      <c r="D7" s="71"/>
      <c r="E7" s="71"/>
      <c r="F7" s="71"/>
      <c r="G7" s="71"/>
      <c r="H7" s="71"/>
      <c r="I7" s="71"/>
      <c r="J7" s="74">
        <v>12923</v>
      </c>
      <c r="K7" s="74">
        <v>82737</v>
      </c>
      <c r="L7" s="71">
        <v>45949</v>
      </c>
      <c r="M7" s="2">
        <v>73955</v>
      </c>
      <c r="N7" s="81">
        <v>73954.873</v>
      </c>
      <c r="O7" s="79"/>
      <c r="P7" s="79"/>
      <c r="Q7" s="79"/>
      <c r="R7" s="71"/>
      <c r="S7" t="s">
        <v>734</v>
      </c>
    </row>
    <row r="8" spans="1:19" ht="12.75">
      <c r="A8" t="s">
        <v>50</v>
      </c>
      <c r="B8" s="4">
        <v>51.21</v>
      </c>
      <c r="C8" s="1"/>
      <c r="D8" s="71"/>
      <c r="E8" s="71"/>
      <c r="F8" s="71"/>
      <c r="G8" s="71"/>
      <c r="H8" s="71"/>
      <c r="I8" s="71"/>
      <c r="J8" s="74"/>
      <c r="K8" s="74">
        <v>1377</v>
      </c>
      <c r="L8" s="71">
        <v>2112</v>
      </c>
      <c r="M8" s="2">
        <f>+L8/$L$3*12</f>
        <v>4224</v>
      </c>
      <c r="N8" s="79">
        <v>4415.7</v>
      </c>
      <c r="O8" s="79">
        <v>4800</v>
      </c>
      <c r="P8" s="79">
        <v>4800</v>
      </c>
      <c r="Q8" s="79">
        <v>4800</v>
      </c>
      <c r="R8" s="71"/>
      <c r="S8" t="s">
        <v>605</v>
      </c>
    </row>
    <row r="9" spans="1:19" ht="12.75">
      <c r="A9" t="s">
        <v>30</v>
      </c>
      <c r="B9" s="4">
        <v>51.22</v>
      </c>
      <c r="C9" s="1"/>
      <c r="D9" s="71"/>
      <c r="E9" s="71"/>
      <c r="F9" s="71"/>
      <c r="G9" s="71"/>
      <c r="H9" s="71"/>
      <c r="I9" s="71"/>
      <c r="J9" s="74">
        <v>989</v>
      </c>
      <c r="K9" s="74">
        <v>6142</v>
      </c>
      <c r="L9" s="71">
        <v>3221</v>
      </c>
      <c r="M9" s="2">
        <f>+L9/$L$3*12</f>
        <v>6442</v>
      </c>
      <c r="N9" s="79">
        <v>6499.124284500001</v>
      </c>
      <c r="O9" s="79"/>
      <c r="P9" s="79"/>
      <c r="Q9" s="79"/>
      <c r="R9" s="71"/>
      <c r="S9" t="s">
        <v>734</v>
      </c>
    </row>
    <row r="10" spans="1:19" ht="12.75">
      <c r="A10" t="s">
        <v>638</v>
      </c>
      <c r="B10" s="4"/>
      <c r="C10" s="1"/>
      <c r="D10" s="71"/>
      <c r="E10" s="71"/>
      <c r="F10" s="71"/>
      <c r="G10" s="71"/>
      <c r="H10" s="71"/>
      <c r="I10" s="71"/>
      <c r="J10" s="74"/>
      <c r="K10" s="74"/>
      <c r="L10" s="71"/>
      <c r="M10" s="2"/>
      <c r="N10" s="79"/>
      <c r="O10" s="79"/>
      <c r="P10" s="79"/>
      <c r="Q10" s="79"/>
      <c r="R10" s="71"/>
      <c r="S10" s="3"/>
    </row>
    <row r="11" spans="1:19" ht="12.75">
      <c r="A11" t="s">
        <v>574</v>
      </c>
      <c r="C11" s="1"/>
      <c r="D11" s="71"/>
      <c r="E11" s="71"/>
      <c r="F11" s="71"/>
      <c r="G11" s="71"/>
      <c r="H11" s="71"/>
      <c r="I11" s="71"/>
      <c r="J11" s="74"/>
      <c r="K11" s="74"/>
      <c r="L11" s="71"/>
      <c r="M11" s="2">
        <v>11000</v>
      </c>
      <c r="N11" s="79">
        <v>11000</v>
      </c>
      <c r="O11" s="79">
        <v>10000</v>
      </c>
      <c r="P11" s="79">
        <v>10000</v>
      </c>
      <c r="Q11" s="79">
        <v>0</v>
      </c>
      <c r="R11" s="71"/>
      <c r="S11" t="s">
        <v>735</v>
      </c>
    </row>
    <row r="12" spans="3:18" ht="12.75">
      <c r="C12" s="1"/>
      <c r="D12" s="71"/>
      <c r="E12" s="71"/>
      <c r="F12" s="71"/>
      <c r="G12" s="71"/>
      <c r="H12" s="71"/>
      <c r="I12" s="71"/>
      <c r="J12" s="74"/>
      <c r="K12" s="74"/>
      <c r="L12" s="71"/>
      <c r="M12" s="2"/>
      <c r="N12" s="79"/>
      <c r="O12" s="79"/>
      <c r="P12" s="79"/>
      <c r="Q12" s="79"/>
      <c r="R12" s="71"/>
    </row>
    <row r="13" spans="1:19" ht="12.75">
      <c r="A13" t="s">
        <v>48</v>
      </c>
      <c r="B13" s="4">
        <v>52.12</v>
      </c>
      <c r="C13" s="1"/>
      <c r="D13" s="71"/>
      <c r="E13" s="71"/>
      <c r="F13" s="71"/>
      <c r="G13" s="71"/>
      <c r="H13" s="71"/>
      <c r="I13" s="71"/>
      <c r="J13" s="74"/>
      <c r="K13" s="74">
        <f>460+660</f>
        <v>1120</v>
      </c>
      <c r="L13" s="71"/>
      <c r="M13" s="2"/>
      <c r="N13" s="79">
        <v>20000</v>
      </c>
      <c r="O13" s="81">
        <v>20000</v>
      </c>
      <c r="P13" s="81">
        <v>20000</v>
      </c>
      <c r="Q13" s="81">
        <f>P13*0.95</f>
        <v>19000</v>
      </c>
      <c r="R13" s="71"/>
      <c r="S13" t="s">
        <v>374</v>
      </c>
    </row>
    <row r="14" spans="1:18" ht="12.75">
      <c r="A14" t="s">
        <v>612</v>
      </c>
      <c r="B14" s="4">
        <v>52.1319</v>
      </c>
      <c r="C14" s="2"/>
      <c r="D14" s="2"/>
      <c r="E14" s="2"/>
      <c r="F14" s="2"/>
      <c r="G14" s="2"/>
      <c r="H14" s="2"/>
      <c r="I14" s="2"/>
      <c r="J14" s="18"/>
      <c r="K14" s="18"/>
      <c r="L14" s="2">
        <v>3429</v>
      </c>
      <c r="M14" s="2">
        <f>+L14/$L$3*12</f>
        <v>6858</v>
      </c>
      <c r="N14" s="2">
        <v>3000</v>
      </c>
      <c r="O14" s="2">
        <v>5000</v>
      </c>
      <c r="P14" s="2">
        <v>5000</v>
      </c>
      <c r="Q14" s="81">
        <f aca="true" t="shared" si="0" ref="Q14:Q27">P14*0.95</f>
        <v>4750</v>
      </c>
      <c r="R14" s="64"/>
    </row>
    <row r="15" spans="1:18" ht="12.75">
      <c r="A15" t="s">
        <v>613</v>
      </c>
      <c r="B15" s="4">
        <v>52.22</v>
      </c>
      <c r="C15" s="2"/>
      <c r="D15" s="2"/>
      <c r="E15" s="2"/>
      <c r="F15" s="2"/>
      <c r="G15" s="2"/>
      <c r="H15" s="2"/>
      <c r="I15" s="2"/>
      <c r="J15" s="18"/>
      <c r="K15" s="18"/>
      <c r="L15" s="2"/>
      <c r="M15" s="2"/>
      <c r="N15" s="2"/>
      <c r="O15" s="2"/>
      <c r="P15" s="2"/>
      <c r="Q15" s="81">
        <f t="shared" si="0"/>
        <v>0</v>
      </c>
      <c r="R15" s="64"/>
    </row>
    <row r="16" spans="1:19" ht="12.75">
      <c r="A16" t="s">
        <v>614</v>
      </c>
      <c r="B16" s="4">
        <v>52.2313</v>
      </c>
      <c r="C16" s="2"/>
      <c r="D16" s="2"/>
      <c r="E16" s="2"/>
      <c r="F16" s="2"/>
      <c r="G16" s="2"/>
      <c r="H16" s="2"/>
      <c r="I16" s="2"/>
      <c r="J16" s="18"/>
      <c r="K16" s="18">
        <v>4000</v>
      </c>
      <c r="L16" s="2">
        <v>2000</v>
      </c>
      <c r="M16" s="2">
        <v>4800</v>
      </c>
      <c r="N16" s="2">
        <v>4800</v>
      </c>
      <c r="O16" s="2">
        <v>4800</v>
      </c>
      <c r="P16" s="2">
        <v>4800</v>
      </c>
      <c r="Q16" s="81">
        <f t="shared" si="0"/>
        <v>4560</v>
      </c>
      <c r="R16" s="64"/>
      <c r="S16" t="s">
        <v>426</v>
      </c>
    </row>
    <row r="17" spans="1:19" ht="12.75">
      <c r="A17" t="s">
        <v>32</v>
      </c>
      <c r="B17" s="4">
        <v>52.32</v>
      </c>
      <c r="C17" s="1"/>
      <c r="D17" s="71"/>
      <c r="E17" s="71"/>
      <c r="F17" s="71"/>
      <c r="G17" s="71"/>
      <c r="H17" s="71"/>
      <c r="I17" s="71"/>
      <c r="J17" s="74">
        <v>149</v>
      </c>
      <c r="K17" s="74">
        <v>781</v>
      </c>
      <c r="L17" s="71">
        <v>453</v>
      </c>
      <c r="M17" s="2">
        <f>+L17/$L$3*12</f>
        <v>906</v>
      </c>
      <c r="N17" s="79">
        <v>1400</v>
      </c>
      <c r="O17" s="79">
        <v>1400</v>
      </c>
      <c r="P17" s="79">
        <v>1000</v>
      </c>
      <c r="Q17" s="81">
        <f t="shared" si="0"/>
        <v>950</v>
      </c>
      <c r="R17" s="71"/>
      <c r="S17" s="3"/>
    </row>
    <row r="18" spans="1:19" ht="12.75">
      <c r="A18" t="s">
        <v>54</v>
      </c>
      <c r="B18" s="4">
        <v>52.33</v>
      </c>
      <c r="C18" s="2"/>
      <c r="D18" s="2"/>
      <c r="E18" s="2"/>
      <c r="F18" s="2"/>
      <c r="G18" s="2"/>
      <c r="H18" s="2"/>
      <c r="I18" s="2"/>
      <c r="J18" s="18"/>
      <c r="K18" s="18">
        <v>1565</v>
      </c>
      <c r="L18" s="2"/>
      <c r="M18" s="2">
        <f>+L18/$L$3*12</f>
        <v>0</v>
      </c>
      <c r="N18" s="2">
        <v>3000</v>
      </c>
      <c r="O18" s="2">
        <v>5000</v>
      </c>
      <c r="P18" s="2">
        <v>3000</v>
      </c>
      <c r="Q18" s="81">
        <f t="shared" si="0"/>
        <v>2850</v>
      </c>
      <c r="R18" s="64"/>
      <c r="S18" t="s">
        <v>722</v>
      </c>
    </row>
    <row r="19" spans="1:19" ht="12.75">
      <c r="A19" t="s">
        <v>615</v>
      </c>
      <c r="B19" s="4">
        <v>52.3405</v>
      </c>
      <c r="C19" s="1"/>
      <c r="D19" s="71"/>
      <c r="E19" s="71"/>
      <c r="F19" s="71"/>
      <c r="G19" s="71"/>
      <c r="H19" s="71"/>
      <c r="I19" s="71"/>
      <c r="J19" s="74"/>
      <c r="K19" s="74">
        <v>300</v>
      </c>
      <c r="L19" s="71"/>
      <c r="M19" s="2"/>
      <c r="N19" s="79"/>
      <c r="O19" s="79">
        <v>7500</v>
      </c>
      <c r="P19" s="79"/>
      <c r="Q19" s="81">
        <f t="shared" si="0"/>
        <v>0</v>
      </c>
      <c r="R19" s="71"/>
      <c r="S19" s="3"/>
    </row>
    <row r="20" spans="1:19" ht="12.75">
      <c r="A20" t="s">
        <v>45</v>
      </c>
      <c r="B20" s="4">
        <v>52.35</v>
      </c>
      <c r="C20" s="1"/>
      <c r="D20" s="71"/>
      <c r="E20" s="71"/>
      <c r="F20" s="71"/>
      <c r="G20" s="71"/>
      <c r="H20" s="71"/>
      <c r="I20" s="71"/>
      <c r="J20" s="74">
        <v>1963</v>
      </c>
      <c r="K20" s="74">
        <v>4522</v>
      </c>
      <c r="L20" s="71">
        <v>543</v>
      </c>
      <c r="M20" s="2">
        <v>5000</v>
      </c>
      <c r="N20" s="79">
        <v>5000</v>
      </c>
      <c r="O20" s="79">
        <v>5000</v>
      </c>
      <c r="P20" s="79">
        <v>5000</v>
      </c>
      <c r="Q20" s="81">
        <f t="shared" si="0"/>
        <v>4750</v>
      </c>
      <c r="R20" s="71"/>
      <c r="S20" s="3"/>
    </row>
    <row r="21" spans="1:18" ht="12.75">
      <c r="A21" t="s">
        <v>616</v>
      </c>
      <c r="B21" s="4">
        <v>52.3852</v>
      </c>
      <c r="C21" s="2">
        <v>38107</v>
      </c>
      <c r="D21" s="2">
        <v>30294</v>
      </c>
      <c r="E21" s="2"/>
      <c r="F21" s="2">
        <v>35994</v>
      </c>
      <c r="G21" s="2">
        <v>33970</v>
      </c>
      <c r="H21" s="2">
        <v>38921</v>
      </c>
      <c r="I21" s="2">
        <v>45177</v>
      </c>
      <c r="J21" s="18">
        <v>37485</v>
      </c>
      <c r="K21" s="18">
        <v>17828</v>
      </c>
      <c r="L21" s="2">
        <v>6520</v>
      </c>
      <c r="M21" s="2">
        <f>+L21/$L$3*12</f>
        <v>13040</v>
      </c>
      <c r="N21" s="2">
        <v>10000</v>
      </c>
      <c r="O21" s="2"/>
      <c r="P21" s="2"/>
      <c r="Q21" s="81">
        <f t="shared" si="0"/>
        <v>0</v>
      </c>
      <c r="R21" s="64">
        <f>(Q21-N21)/N21</f>
        <v>-1</v>
      </c>
    </row>
    <row r="22" spans="1:18" ht="12.75">
      <c r="A22" t="s">
        <v>682</v>
      </c>
      <c r="B22" s="4"/>
      <c r="C22" s="2"/>
      <c r="D22" s="2"/>
      <c r="E22" s="2"/>
      <c r="F22" s="2"/>
      <c r="G22" s="2"/>
      <c r="H22" s="2"/>
      <c r="I22" s="2"/>
      <c r="J22" s="18"/>
      <c r="K22" s="18"/>
      <c r="L22" s="2"/>
      <c r="M22" s="2"/>
      <c r="N22" s="2"/>
      <c r="O22" s="2">
        <v>9000</v>
      </c>
      <c r="P22" s="2">
        <v>9000</v>
      </c>
      <c r="Q22" s="81">
        <f t="shared" si="0"/>
        <v>8550</v>
      </c>
      <c r="R22" s="64"/>
    </row>
    <row r="23" spans="2:18" ht="12.75">
      <c r="B23" s="4"/>
      <c r="C23" s="2"/>
      <c r="D23" s="2"/>
      <c r="E23" s="2"/>
      <c r="F23" s="2"/>
      <c r="G23" s="2"/>
      <c r="H23" s="2"/>
      <c r="I23" s="2"/>
      <c r="J23" s="18"/>
      <c r="K23" s="18"/>
      <c r="L23" s="2"/>
      <c r="M23" s="2">
        <f>+L23/$L$3*12</f>
        <v>0</v>
      </c>
      <c r="N23" s="2"/>
      <c r="O23" s="2"/>
      <c r="P23" s="2"/>
      <c r="Q23" s="81">
        <f t="shared" si="0"/>
        <v>0</v>
      </c>
      <c r="R23" s="64"/>
    </row>
    <row r="24" spans="1:18" ht="12.75">
      <c r="A24" t="s">
        <v>590</v>
      </c>
      <c r="B24" s="4">
        <v>53.171</v>
      </c>
      <c r="C24" s="2"/>
      <c r="D24" s="2"/>
      <c r="E24" s="2"/>
      <c r="F24" s="2"/>
      <c r="G24" s="2"/>
      <c r="H24" s="2"/>
      <c r="I24" s="2"/>
      <c r="J24" s="18">
        <v>2</v>
      </c>
      <c r="K24" s="18"/>
      <c r="L24" s="2"/>
      <c r="M24" s="2">
        <f>+L24/$L$3*12</f>
        <v>0</v>
      </c>
      <c r="N24" s="2"/>
      <c r="O24" s="2"/>
      <c r="P24" s="2"/>
      <c r="Q24" s="81">
        <f t="shared" si="0"/>
        <v>0</v>
      </c>
      <c r="R24" s="64"/>
    </row>
    <row r="25" spans="1:18" ht="12.75">
      <c r="A25" t="s">
        <v>472</v>
      </c>
      <c r="B25" s="4"/>
      <c r="C25" s="2"/>
      <c r="D25" s="2"/>
      <c r="E25" s="2"/>
      <c r="F25" s="2"/>
      <c r="G25" s="2"/>
      <c r="H25" s="2"/>
      <c r="I25" s="2"/>
      <c r="J25" s="18">
        <v>2279</v>
      </c>
      <c r="K25" s="18"/>
      <c r="L25" s="2"/>
      <c r="M25" s="2">
        <f>+L25/$L$3*12</f>
        <v>0</v>
      </c>
      <c r="N25" s="2"/>
      <c r="O25" s="2"/>
      <c r="P25" s="2"/>
      <c r="Q25" s="81">
        <f t="shared" si="0"/>
        <v>0</v>
      </c>
      <c r="R25" s="64"/>
    </row>
    <row r="26" spans="1:18" ht="12.75">
      <c r="A26" t="s">
        <v>571</v>
      </c>
      <c r="B26" s="4"/>
      <c r="C26" s="2"/>
      <c r="D26" s="2"/>
      <c r="E26" s="2"/>
      <c r="F26" s="2"/>
      <c r="G26" s="2"/>
      <c r="H26" s="2"/>
      <c r="I26" s="2"/>
      <c r="J26" s="18"/>
      <c r="K26" s="18"/>
      <c r="L26" s="2"/>
      <c r="M26" s="2">
        <f>+L26/$L$3*12</f>
        <v>0</v>
      </c>
      <c r="N26" s="2"/>
      <c r="O26" s="2"/>
      <c r="P26" s="2"/>
      <c r="Q26" s="81">
        <f t="shared" si="0"/>
        <v>0</v>
      </c>
      <c r="R26" s="64"/>
    </row>
    <row r="27" spans="1:18" ht="12.75">
      <c r="A27" t="s">
        <v>598</v>
      </c>
      <c r="B27" s="4">
        <v>52.3604</v>
      </c>
      <c r="C27" s="2"/>
      <c r="D27" s="2"/>
      <c r="E27" s="2"/>
      <c r="F27" s="2"/>
      <c r="G27" s="2"/>
      <c r="H27" s="2"/>
      <c r="I27" s="2"/>
      <c r="J27" s="18"/>
      <c r="K27" s="18"/>
      <c r="L27" s="2"/>
      <c r="M27" s="2">
        <v>300</v>
      </c>
      <c r="N27" s="2">
        <v>300</v>
      </c>
      <c r="O27" s="2">
        <v>300</v>
      </c>
      <c r="P27" s="2">
        <v>300</v>
      </c>
      <c r="Q27" s="81">
        <f t="shared" si="0"/>
        <v>285</v>
      </c>
      <c r="R27" s="64"/>
    </row>
    <row r="28" spans="2:18" ht="12.75">
      <c r="B28" s="4"/>
      <c r="C28" s="2"/>
      <c r="D28" s="2"/>
      <c r="E28" s="2"/>
      <c r="F28" s="2"/>
      <c r="G28" s="2"/>
      <c r="H28" s="2"/>
      <c r="I28" s="2"/>
      <c r="J28" s="18"/>
      <c r="K28" s="18"/>
      <c r="L28" s="2"/>
      <c r="M28" s="2"/>
      <c r="N28" s="2"/>
      <c r="O28" s="2"/>
      <c r="P28" s="2"/>
      <c r="Q28" s="2"/>
      <c r="R28" s="64"/>
    </row>
    <row r="29" spans="1:18" ht="12.75">
      <c r="A29" t="s">
        <v>591</v>
      </c>
      <c r="B29" s="4"/>
      <c r="C29" s="2"/>
      <c r="D29" s="2"/>
      <c r="E29" s="2"/>
      <c r="F29" s="2"/>
      <c r="G29" s="2"/>
      <c r="H29" s="2"/>
      <c r="I29" s="2"/>
      <c r="J29" s="18">
        <v>15000</v>
      </c>
      <c r="K29" s="18"/>
      <c r="L29" s="2"/>
      <c r="M29" s="2">
        <f>+L29/$L$3*12</f>
        <v>0</v>
      </c>
      <c r="N29" s="2"/>
      <c r="O29" s="2"/>
      <c r="P29" s="2"/>
      <c r="Q29" s="2"/>
      <c r="R29" s="64"/>
    </row>
    <row r="30" spans="1:19" ht="12.75">
      <c r="A30" t="s">
        <v>371</v>
      </c>
      <c r="B30" s="4">
        <v>57.1091</v>
      </c>
      <c r="C30" s="2">
        <v>5000</v>
      </c>
      <c r="D30" s="2">
        <v>5000</v>
      </c>
      <c r="E30" s="2"/>
      <c r="F30" s="2"/>
      <c r="G30" s="2"/>
      <c r="H30" s="2"/>
      <c r="I30" s="2"/>
      <c r="J30" s="18"/>
      <c r="K30" s="18">
        <v>5000</v>
      </c>
      <c r="L30" s="2"/>
      <c r="M30" s="2">
        <f>+L30/$L$3*12</f>
        <v>0</v>
      </c>
      <c r="N30" s="2"/>
      <c r="O30" s="2"/>
      <c r="P30" s="2"/>
      <c r="Q30" s="2"/>
      <c r="R30" s="64"/>
      <c r="S30" t="s">
        <v>415</v>
      </c>
    </row>
    <row r="31" spans="2:18" ht="12.75">
      <c r="B31" s="4"/>
      <c r="C31" s="2"/>
      <c r="D31" s="2"/>
      <c r="E31" s="2"/>
      <c r="F31" s="2"/>
      <c r="G31" s="2"/>
      <c r="H31" s="2"/>
      <c r="I31" s="2"/>
      <c r="J31" s="18"/>
      <c r="K31" s="18"/>
      <c r="L31" s="2"/>
      <c r="M31" s="2"/>
      <c r="N31" s="2"/>
      <c r="O31" s="2"/>
      <c r="P31" s="2"/>
      <c r="Q31" s="2"/>
      <c r="R31" s="64"/>
    </row>
    <row r="32" spans="1:19" ht="12.75">
      <c r="A32" t="s">
        <v>202</v>
      </c>
      <c r="B32" s="4">
        <v>57.21</v>
      </c>
      <c r="C32" s="2">
        <v>9200</v>
      </c>
      <c r="D32" s="2">
        <v>20000</v>
      </c>
      <c r="E32" s="2"/>
      <c r="F32" s="2">
        <v>22500</v>
      </c>
      <c r="G32" s="2">
        <v>25000</v>
      </c>
      <c r="H32" s="2">
        <v>25000</v>
      </c>
      <c r="I32" s="2">
        <v>18750</v>
      </c>
      <c r="J32" s="18">
        <v>25000</v>
      </c>
      <c r="K32" s="18">
        <v>25000</v>
      </c>
      <c r="L32" s="2">
        <v>12500</v>
      </c>
      <c r="M32" s="2">
        <f>+L32/$L$3*12</f>
        <v>25000</v>
      </c>
      <c r="N32" s="2">
        <v>25000</v>
      </c>
      <c r="O32" s="2">
        <v>25000</v>
      </c>
      <c r="P32" s="2">
        <v>25000</v>
      </c>
      <c r="Q32" s="2">
        <v>23750</v>
      </c>
      <c r="R32" s="64">
        <f>(Q32-N32)/N32</f>
        <v>-0.05</v>
      </c>
      <c r="S32" t="s">
        <v>426</v>
      </c>
    </row>
    <row r="33" spans="2:18" ht="12.75">
      <c r="B33" s="4"/>
      <c r="C33" s="2"/>
      <c r="D33" s="2"/>
      <c r="E33" s="2"/>
      <c r="F33" s="2"/>
      <c r="G33" s="2"/>
      <c r="H33" s="2"/>
      <c r="I33" s="2"/>
      <c r="J33" s="18"/>
      <c r="K33" s="18"/>
      <c r="L33" s="2"/>
      <c r="M33" s="2">
        <f>+L33/$L$3*12</f>
        <v>0</v>
      </c>
      <c r="N33" s="2"/>
      <c r="O33" s="2"/>
      <c r="P33" s="2"/>
      <c r="Q33" s="2"/>
      <c r="R33" s="64"/>
    </row>
    <row r="34" spans="1:19" ht="12.75">
      <c r="A34" t="s">
        <v>203</v>
      </c>
      <c r="B34" s="4">
        <v>57.211</v>
      </c>
      <c r="C34" s="2">
        <v>25000</v>
      </c>
      <c r="D34" s="2">
        <v>21250</v>
      </c>
      <c r="E34" s="2">
        <v>20000</v>
      </c>
      <c r="F34" s="2">
        <v>95000</v>
      </c>
      <c r="G34" s="2">
        <v>18000</v>
      </c>
      <c r="H34" s="2">
        <v>8000</v>
      </c>
      <c r="I34" s="2"/>
      <c r="J34" s="18"/>
      <c r="K34" s="18"/>
      <c r="L34" s="2"/>
      <c r="M34" s="2">
        <f>+L34/$L$3*12</f>
        <v>0</v>
      </c>
      <c r="N34" s="18"/>
      <c r="O34" s="2"/>
      <c r="P34" s="2"/>
      <c r="Q34" s="18"/>
      <c r="R34" s="64"/>
      <c r="S34" t="s">
        <v>384</v>
      </c>
    </row>
    <row r="35" spans="1:18" ht="12.75">
      <c r="A35" t="s">
        <v>738</v>
      </c>
      <c r="B35" s="4"/>
      <c r="C35" s="2"/>
      <c r="D35" s="2"/>
      <c r="E35" s="2"/>
      <c r="F35" s="2"/>
      <c r="G35" s="2"/>
      <c r="H35" s="2"/>
      <c r="I35" s="2"/>
      <c r="J35" s="18"/>
      <c r="K35" s="18"/>
      <c r="L35" s="2"/>
      <c r="M35" s="2"/>
      <c r="N35" s="18"/>
      <c r="O35" s="2">
        <v>22000</v>
      </c>
      <c r="P35" s="2">
        <v>22000</v>
      </c>
      <c r="Q35" s="18">
        <v>22000</v>
      </c>
      <c r="R35" s="64"/>
    </row>
    <row r="36" spans="2:18" ht="12.75">
      <c r="B36" s="4"/>
      <c r="C36" s="2"/>
      <c r="D36" s="2"/>
      <c r="E36" s="2"/>
      <c r="F36" s="2"/>
      <c r="G36" s="2"/>
      <c r="H36" s="2"/>
      <c r="I36" s="2"/>
      <c r="J36" s="18"/>
      <c r="K36" s="18"/>
      <c r="L36" s="2"/>
      <c r="M36" s="2"/>
      <c r="N36" s="18"/>
      <c r="O36" s="2"/>
      <c r="P36" s="2"/>
      <c r="Q36" s="18"/>
      <c r="R36" s="64"/>
    </row>
    <row r="37" spans="2:18" ht="11.25" customHeight="1">
      <c r="B37" s="4">
        <v>57.2111</v>
      </c>
      <c r="C37" s="2"/>
      <c r="D37" s="2"/>
      <c r="E37" s="2"/>
      <c r="F37" s="2"/>
      <c r="G37" s="2">
        <v>100000</v>
      </c>
      <c r="H37" s="2"/>
      <c r="I37" s="2"/>
      <c r="J37" s="18"/>
      <c r="K37" s="18"/>
      <c r="L37" s="2"/>
      <c r="M37" s="2">
        <f aca="true" t="shared" si="1" ref="M37:M42">+L37/$L$3*12</f>
        <v>0</v>
      </c>
      <c r="N37" s="18"/>
      <c r="O37" s="2"/>
      <c r="P37" s="2"/>
      <c r="Q37" s="18"/>
      <c r="R37" s="64"/>
    </row>
    <row r="38" spans="1:18" ht="12.75" hidden="1">
      <c r="A38" t="s">
        <v>204</v>
      </c>
      <c r="B38" s="4">
        <v>57.2161</v>
      </c>
      <c r="C38" s="2">
        <v>6700</v>
      </c>
      <c r="D38" s="2">
        <v>6700</v>
      </c>
      <c r="E38" s="2"/>
      <c r="F38" s="2">
        <v>7000</v>
      </c>
      <c r="G38" s="2"/>
      <c r="H38" s="2"/>
      <c r="I38" s="2"/>
      <c r="J38" s="18"/>
      <c r="K38" s="18"/>
      <c r="L38" s="2"/>
      <c r="M38" s="2">
        <f t="shared" si="1"/>
        <v>0</v>
      </c>
      <c r="N38" s="18"/>
      <c r="O38" s="2"/>
      <c r="P38" s="2"/>
      <c r="Q38" s="18"/>
      <c r="R38" s="49"/>
    </row>
    <row r="39" spans="1:19" ht="12" customHeight="1">
      <c r="A39" t="s">
        <v>621</v>
      </c>
      <c r="B39" s="4"/>
      <c r="C39" s="2"/>
      <c r="D39" s="2"/>
      <c r="E39" s="2"/>
      <c r="F39" s="2"/>
      <c r="G39" s="2"/>
      <c r="H39" s="2"/>
      <c r="I39" s="2"/>
      <c r="J39" s="18"/>
      <c r="K39" s="18"/>
      <c r="L39" s="2"/>
      <c r="M39" s="2">
        <f t="shared" si="1"/>
        <v>0</v>
      </c>
      <c r="N39">
        <v>15000</v>
      </c>
      <c r="O39" s="2">
        <v>15000</v>
      </c>
      <c r="P39" s="2">
        <v>15000</v>
      </c>
      <c r="Q39" s="2">
        <v>7500</v>
      </c>
      <c r="R39" s="49"/>
      <c r="S39" t="s">
        <v>375</v>
      </c>
    </row>
    <row r="40" spans="1:18" ht="0.75" customHeight="1" hidden="1">
      <c r="A40" t="s">
        <v>219</v>
      </c>
      <c r="B40" s="4" t="s">
        <v>24</v>
      </c>
      <c r="C40" s="2"/>
      <c r="D40" s="2">
        <v>125722</v>
      </c>
      <c r="E40" s="2"/>
      <c r="F40" s="2"/>
      <c r="G40" s="2"/>
      <c r="H40" s="2"/>
      <c r="I40" s="2"/>
      <c r="J40" s="18"/>
      <c r="K40" s="18"/>
      <c r="L40" s="2"/>
      <c r="M40" s="2">
        <f t="shared" si="1"/>
        <v>0</v>
      </c>
      <c r="N40" s="2"/>
      <c r="O40" s="2"/>
      <c r="P40" s="2"/>
      <c r="Q40" s="2"/>
      <c r="R40" s="49"/>
    </row>
    <row r="41" spans="1:20" ht="12.75" hidden="1">
      <c r="A41" t="s">
        <v>212</v>
      </c>
      <c r="B41" s="4" t="s">
        <v>24</v>
      </c>
      <c r="C41" s="2">
        <v>23811</v>
      </c>
      <c r="D41" s="2"/>
      <c r="E41" s="2"/>
      <c r="F41" s="2"/>
      <c r="G41" s="2"/>
      <c r="H41" s="2"/>
      <c r="I41" s="2"/>
      <c r="J41" s="18"/>
      <c r="K41" s="18"/>
      <c r="L41" s="2"/>
      <c r="M41" s="2">
        <f t="shared" si="1"/>
        <v>0</v>
      </c>
      <c r="N41" s="2"/>
      <c r="O41" s="2"/>
      <c r="P41" s="2"/>
      <c r="Q41" s="2"/>
      <c r="R41" s="49"/>
      <c r="T41" t="s">
        <v>489</v>
      </c>
    </row>
    <row r="42" spans="2:18" ht="12.75">
      <c r="B42" s="4"/>
      <c r="C42" s="2"/>
      <c r="D42" s="2"/>
      <c r="E42" s="2"/>
      <c r="F42" s="2"/>
      <c r="G42" s="2"/>
      <c r="H42" s="2"/>
      <c r="I42" s="2"/>
      <c r="J42" s="18"/>
      <c r="K42" s="18"/>
      <c r="L42" s="2"/>
      <c r="M42" s="2">
        <f t="shared" si="1"/>
        <v>0</v>
      </c>
      <c r="N42" s="2"/>
      <c r="O42" s="2"/>
      <c r="P42" s="2"/>
      <c r="Q42" s="2"/>
      <c r="R42" s="49"/>
    </row>
    <row r="43" spans="2:18" ht="12.75">
      <c r="B43" s="4"/>
      <c r="C43" s="2"/>
      <c r="D43" s="2"/>
      <c r="E43" s="2"/>
      <c r="F43" s="2"/>
      <c r="G43" s="2"/>
      <c r="H43" s="2"/>
      <c r="I43" s="2"/>
      <c r="J43" s="18"/>
      <c r="K43" s="18"/>
      <c r="L43" s="2"/>
      <c r="M43" s="2"/>
      <c r="N43" s="2"/>
      <c r="O43" s="2"/>
      <c r="P43" s="2"/>
      <c r="Q43" s="2"/>
      <c r="R43" s="49"/>
    </row>
    <row r="44" spans="1:18" ht="12.75">
      <c r="A44" s="6" t="s">
        <v>23</v>
      </c>
      <c r="B44" s="6"/>
      <c r="C44" s="8">
        <f aca="true" t="shared" si="2" ref="C44:H44">SUM(C21:C43)</f>
        <v>107818</v>
      </c>
      <c r="D44" s="8">
        <f t="shared" si="2"/>
        <v>208966</v>
      </c>
      <c r="E44" s="8">
        <f t="shared" si="2"/>
        <v>20000</v>
      </c>
      <c r="F44" s="8">
        <f t="shared" si="2"/>
        <v>160494</v>
      </c>
      <c r="G44" s="8">
        <f t="shared" si="2"/>
        <v>176970</v>
      </c>
      <c r="H44" s="8">
        <f t="shared" si="2"/>
        <v>71921</v>
      </c>
      <c r="I44" s="8">
        <f>SUM(I7:I43)</f>
        <v>63927</v>
      </c>
      <c r="J44" s="8">
        <v>96453</v>
      </c>
      <c r="K44" s="8">
        <f aca="true" t="shared" si="3" ref="K44:Q44">SUM(K7:K43)</f>
        <v>150372</v>
      </c>
      <c r="L44" s="8">
        <f t="shared" si="3"/>
        <v>76727</v>
      </c>
      <c r="M44" s="8">
        <f t="shared" si="3"/>
        <v>151525</v>
      </c>
      <c r="N44" s="8">
        <f t="shared" si="3"/>
        <v>183369.6972845</v>
      </c>
      <c r="O44" s="8">
        <f t="shared" si="3"/>
        <v>134800</v>
      </c>
      <c r="P44" s="8">
        <f t="shared" si="3"/>
        <v>124900</v>
      </c>
      <c r="Q44" s="8">
        <f t="shared" si="3"/>
        <v>103745</v>
      </c>
      <c r="R44" s="50">
        <f>(Q44-N44)/N44</f>
        <v>-0.4342304015529973</v>
      </c>
    </row>
    <row r="45" spans="3:18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9"/>
    </row>
    <row r="46" spans="3:18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1" t="s">
        <v>357</v>
      </c>
      <c r="O46" s="21"/>
      <c r="P46" s="53">
        <f>O44-P44</f>
        <v>9900</v>
      </c>
      <c r="Q46" s="2"/>
      <c r="R46" s="49"/>
    </row>
    <row r="47" spans="1:18" ht="12.75">
      <c r="A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1" t="s">
        <v>545</v>
      </c>
      <c r="O47" s="21"/>
      <c r="P47" s="53">
        <f>N44-P44</f>
        <v>58469.6972845</v>
      </c>
      <c r="Q47" s="2"/>
      <c r="R47" s="49"/>
    </row>
    <row r="48" spans="14:18" ht="12.75">
      <c r="N48" s="21" t="s">
        <v>307</v>
      </c>
      <c r="O48" s="21"/>
      <c r="P48" s="53">
        <f>P44-Q44</f>
        <v>21155</v>
      </c>
      <c r="R48" s="49"/>
    </row>
    <row r="49" ht="12.75">
      <c r="R49" s="49"/>
    </row>
    <row r="50" spans="1:18" ht="12.75">
      <c r="A50" t="s">
        <v>444</v>
      </c>
      <c r="R50" s="49"/>
    </row>
    <row r="51" spans="1:18" ht="12.75">
      <c r="A51" t="s">
        <v>721</v>
      </c>
      <c r="R51" s="49"/>
    </row>
    <row r="52" spans="1:18" ht="12.75">
      <c r="A52" t="s">
        <v>760</v>
      </c>
      <c r="R52" s="49"/>
    </row>
    <row r="53" spans="1:18" ht="12.75">
      <c r="A53" t="s">
        <v>739</v>
      </c>
      <c r="R53" s="49"/>
    </row>
    <row r="54" spans="1:18" ht="12.75">
      <c r="A54" t="s">
        <v>575</v>
      </c>
      <c r="R54" s="49"/>
    </row>
    <row r="55" spans="1:18" ht="12.75">
      <c r="A55" t="s">
        <v>639</v>
      </c>
      <c r="R55" s="49"/>
    </row>
    <row r="56" spans="1:18" ht="12.75">
      <c r="A56" t="s">
        <v>723</v>
      </c>
      <c r="R56" s="49"/>
    </row>
    <row r="57" spans="1:18" ht="12.75">
      <c r="A57" t="s">
        <v>607</v>
      </c>
      <c r="R57" s="49"/>
    </row>
    <row r="58" spans="1:18" ht="12.75">
      <c r="A58" t="s">
        <v>733</v>
      </c>
      <c r="R58" s="49"/>
    </row>
    <row r="59" spans="1:18" ht="12.75">
      <c r="A59" t="s">
        <v>769</v>
      </c>
      <c r="R59" s="49"/>
    </row>
    <row r="60" ht="12.75">
      <c r="R60" s="49"/>
    </row>
    <row r="61" ht="12.75">
      <c r="R61" s="49"/>
    </row>
    <row r="62" ht="12.75">
      <c r="R62" s="49"/>
    </row>
    <row r="63" ht="12.75">
      <c r="R63" s="49"/>
    </row>
    <row r="64" ht="12.75">
      <c r="R64" s="49"/>
    </row>
    <row r="65" ht="12.75">
      <c r="R65" s="49"/>
    </row>
    <row r="66" ht="12.75">
      <c r="R66" s="49"/>
    </row>
    <row r="67" ht="12.75">
      <c r="R67" s="49"/>
    </row>
    <row r="68" ht="12.75">
      <c r="R68" s="49"/>
    </row>
    <row r="69" ht="12.75">
      <c r="R69" s="49"/>
    </row>
    <row r="70" ht="12.75">
      <c r="R70" s="49"/>
    </row>
    <row r="71" ht="12.75">
      <c r="R71" s="49"/>
    </row>
    <row r="72" ht="12.75">
      <c r="R72" s="49"/>
    </row>
    <row r="73" ht="12.75">
      <c r="R73" s="49"/>
    </row>
    <row r="74" ht="12.75">
      <c r="R74" s="49"/>
    </row>
    <row r="75" ht="12.75">
      <c r="R75" s="49"/>
    </row>
    <row r="88" ht="12.75">
      <c r="R88" s="2"/>
    </row>
    <row r="89" ht="12.75">
      <c r="R89" s="2"/>
    </row>
    <row r="90" spans="3:18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7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7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</sheetData>
  <printOptions gridLines="1"/>
  <pageMargins left="0.25" right="0.25" top="1" bottom="0.55" header="0.5" footer="0.25"/>
  <pageSetup fitToHeight="1" fitToWidth="1" horizontalDpi="300" verticalDpi="300" orientation="landscape" scale="72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T65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0.13671875" style="0" hidden="1" customWidth="1"/>
    <col min="4" max="8" width="11.7109375" style="0" hidden="1" customWidth="1"/>
    <col min="9" max="11" width="11.7109375" style="0" customWidth="1"/>
    <col min="12" max="12" width="10.8515625" style="0" bestFit="1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7" max="17" width="8.00390625" style="0" bestFit="1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355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37">
        <v>2008</v>
      </c>
      <c r="M6" s="37">
        <v>2008</v>
      </c>
      <c r="N6" s="37">
        <v>2008</v>
      </c>
      <c r="O6" s="37">
        <v>2009</v>
      </c>
      <c r="P6" s="37">
        <v>2009</v>
      </c>
      <c r="Q6" s="37">
        <v>2009</v>
      </c>
      <c r="R6" s="37" t="s">
        <v>650</v>
      </c>
      <c r="S6" s="60" t="s">
        <v>22</v>
      </c>
    </row>
    <row r="7" spans="1:18" ht="12.75">
      <c r="A7" t="s">
        <v>516</v>
      </c>
      <c r="B7" s="4">
        <v>54.1002</v>
      </c>
      <c r="D7" s="2"/>
      <c r="E7" s="2"/>
      <c r="F7" s="18">
        <v>3363</v>
      </c>
      <c r="G7" s="18">
        <v>3500</v>
      </c>
      <c r="H7" s="18"/>
      <c r="I7" s="18"/>
      <c r="J7" s="18"/>
      <c r="K7" s="18"/>
      <c r="O7" s="2"/>
      <c r="P7" s="2"/>
      <c r="R7" s="64"/>
    </row>
    <row r="8" spans="1:18" ht="12.75">
      <c r="A8" t="s">
        <v>366</v>
      </c>
      <c r="B8" s="4">
        <v>54.1003</v>
      </c>
      <c r="E8" s="2"/>
      <c r="F8" s="34"/>
      <c r="G8" s="34"/>
      <c r="H8" s="34"/>
      <c r="I8" s="34"/>
      <c r="J8" s="34"/>
      <c r="K8" s="34"/>
      <c r="O8" s="2"/>
      <c r="P8" s="2"/>
      <c r="R8" s="64"/>
    </row>
    <row r="9" spans="1:18" ht="12.75">
      <c r="A9" t="s">
        <v>239</v>
      </c>
      <c r="B9" s="4">
        <v>54.1004</v>
      </c>
      <c r="D9" s="2"/>
      <c r="E9" s="2"/>
      <c r="F9" s="34"/>
      <c r="G9" s="34"/>
      <c r="H9" s="34">
        <v>9940</v>
      </c>
      <c r="I9" s="34"/>
      <c r="J9" s="34"/>
      <c r="K9" s="34"/>
      <c r="N9" s="62"/>
      <c r="O9" s="2"/>
      <c r="P9" s="2"/>
      <c r="R9" s="64"/>
    </row>
    <row r="10" spans="1:18" ht="12.75">
      <c r="A10" t="s">
        <v>378</v>
      </c>
      <c r="B10" s="4"/>
      <c r="D10" s="2"/>
      <c r="E10" s="2"/>
      <c r="F10" s="34">
        <v>10000</v>
      </c>
      <c r="G10" s="34"/>
      <c r="H10" s="34"/>
      <c r="I10" s="34"/>
      <c r="J10" s="34"/>
      <c r="K10" s="34"/>
      <c r="N10" s="62"/>
      <c r="O10" s="2"/>
      <c r="P10" s="2"/>
      <c r="R10" s="64"/>
    </row>
    <row r="11" spans="1:19" ht="12.75">
      <c r="A11" t="s">
        <v>463</v>
      </c>
      <c r="B11" s="4"/>
      <c r="D11" s="2"/>
      <c r="E11" s="2"/>
      <c r="F11" s="34"/>
      <c r="G11" s="34"/>
      <c r="H11" s="34"/>
      <c r="I11" s="34"/>
      <c r="J11" s="34"/>
      <c r="K11" s="34"/>
      <c r="N11">
        <v>6000</v>
      </c>
      <c r="O11" s="2"/>
      <c r="P11" s="2"/>
      <c r="Q11" s="2"/>
      <c r="R11" s="64"/>
      <c r="S11" t="s">
        <v>256</v>
      </c>
    </row>
    <row r="12" spans="2:18" ht="12.75">
      <c r="B12" s="4"/>
      <c r="D12" s="2"/>
      <c r="E12" s="2"/>
      <c r="F12" s="34"/>
      <c r="G12" s="34"/>
      <c r="H12" s="34"/>
      <c r="I12" s="34"/>
      <c r="J12" s="34"/>
      <c r="K12" s="34"/>
      <c r="O12" s="2"/>
      <c r="P12" s="2"/>
      <c r="Q12" s="2"/>
      <c r="R12" s="64"/>
    </row>
    <row r="13" spans="1:19" ht="12.75">
      <c r="A13" t="s">
        <v>206</v>
      </c>
      <c r="B13" s="4">
        <v>57.214</v>
      </c>
      <c r="C13" s="2">
        <v>10000</v>
      </c>
      <c r="D13" s="2">
        <v>34910</v>
      </c>
      <c r="E13" s="2">
        <v>10000</v>
      </c>
      <c r="F13" s="2">
        <v>10000</v>
      </c>
      <c r="G13" s="2">
        <v>4675</v>
      </c>
      <c r="H13" s="2">
        <v>2500</v>
      </c>
      <c r="I13" s="2"/>
      <c r="J13" s="2">
        <v>7250</v>
      </c>
      <c r="K13" s="2">
        <v>7250</v>
      </c>
      <c r="L13" s="2">
        <v>3625</v>
      </c>
      <c r="M13" s="2">
        <v>7250</v>
      </c>
      <c r="N13" s="20">
        <v>7250</v>
      </c>
      <c r="O13" s="20">
        <v>7250</v>
      </c>
      <c r="P13" s="2">
        <v>7250</v>
      </c>
      <c r="Q13" s="2">
        <v>6887.5</v>
      </c>
      <c r="R13" s="64"/>
      <c r="S13" t="s">
        <v>374</v>
      </c>
    </row>
    <row r="14" spans="2:18" ht="12.7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4"/>
    </row>
    <row r="15" spans="2:18" ht="12.75">
      <c r="B15" s="4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64"/>
    </row>
    <row r="16" spans="1:18" ht="12.75">
      <c r="A16" s="6"/>
      <c r="B16" s="6"/>
      <c r="C16" s="7">
        <f>SUM(C7:C15)</f>
        <v>10000</v>
      </c>
      <c r="D16" s="8">
        <v>34910</v>
      </c>
      <c r="E16" s="8">
        <v>10000</v>
      </c>
      <c r="F16" s="8">
        <f>SUM(F7:F15)</f>
        <v>23363</v>
      </c>
      <c r="G16" s="8">
        <f>SUM(G7:G15)</f>
        <v>8175</v>
      </c>
      <c r="H16" s="8">
        <f>SUM(H7:H15)</f>
        <v>12440</v>
      </c>
      <c r="I16" s="8">
        <f>SUM(I7:I15)</f>
        <v>0</v>
      </c>
      <c r="J16" s="8">
        <v>7250</v>
      </c>
      <c r="K16" s="8">
        <f aca="true" t="shared" si="0" ref="K16:Q16">SUM(K7:K15)</f>
        <v>7250</v>
      </c>
      <c r="L16" s="8">
        <f t="shared" si="0"/>
        <v>3625</v>
      </c>
      <c r="M16" s="8">
        <f t="shared" si="0"/>
        <v>7250</v>
      </c>
      <c r="N16" s="8">
        <f t="shared" si="0"/>
        <v>13250</v>
      </c>
      <c r="O16" s="8">
        <f t="shared" si="0"/>
        <v>7250</v>
      </c>
      <c r="P16" s="8">
        <f t="shared" si="0"/>
        <v>7250</v>
      </c>
      <c r="Q16" s="8">
        <f t="shared" si="0"/>
        <v>6887.5</v>
      </c>
      <c r="R16" s="50">
        <f>(Q16-N16)/N16</f>
        <v>-0.480188679245283</v>
      </c>
    </row>
    <row r="17" ht="12.75">
      <c r="R17" s="49"/>
    </row>
    <row r="18" spans="1:18" ht="12.75">
      <c r="A18" t="s">
        <v>420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1" t="s">
        <v>357</v>
      </c>
      <c r="O18" s="21"/>
      <c r="P18" s="53">
        <f>O16-P16</f>
        <v>0</v>
      </c>
      <c r="Q18" s="6"/>
      <c r="R18" s="49"/>
    </row>
    <row r="19" spans="1:18" ht="12.75">
      <c r="A19" t="s">
        <v>464</v>
      </c>
      <c r="N19" s="21" t="s">
        <v>545</v>
      </c>
      <c r="O19" s="21"/>
      <c r="P19" s="53">
        <f>N16-P16</f>
        <v>6000</v>
      </c>
      <c r="R19" s="49"/>
    </row>
    <row r="20" spans="1:20" ht="12.75">
      <c r="A20" t="s">
        <v>481</v>
      </c>
      <c r="N20" s="21" t="s">
        <v>307</v>
      </c>
      <c r="O20" s="21"/>
      <c r="P20" s="53">
        <f>P16-Q16</f>
        <v>362.5</v>
      </c>
      <c r="R20" s="49"/>
      <c r="T20" t="s">
        <v>489</v>
      </c>
    </row>
    <row r="21" spans="14:18" ht="12.75">
      <c r="N21" s="21"/>
      <c r="O21" s="21"/>
      <c r="P21" s="53"/>
      <c r="R21" s="49"/>
    </row>
    <row r="22" ht="12.75">
      <c r="R22" s="49"/>
    </row>
    <row r="23" spans="1:18" ht="12.75">
      <c r="A23" s="6" t="s">
        <v>560</v>
      </c>
      <c r="R23" s="49"/>
    </row>
    <row r="24" spans="1:18" ht="12.75">
      <c r="A24" s="6"/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31" ht="12.75"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52" ht="12.75">
      <c r="R52" s="2"/>
    </row>
    <row r="53" ht="12.75">
      <c r="R53" s="2"/>
    </row>
    <row r="54" ht="12.75">
      <c r="R54" s="2"/>
    </row>
    <row r="55" ht="12.75">
      <c r="R55" s="2"/>
    </row>
    <row r="56" ht="12.75">
      <c r="R56" s="2"/>
    </row>
    <row r="57" ht="12.75">
      <c r="R57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T65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8" width="11.7109375" style="0" hidden="1" customWidth="1"/>
    <col min="9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7" max="17" width="8.00390625" style="0" bestFit="1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356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37">
        <v>2008</v>
      </c>
      <c r="M6" s="37">
        <v>2008</v>
      </c>
      <c r="N6" s="37">
        <v>2008</v>
      </c>
      <c r="O6" s="37">
        <v>2009</v>
      </c>
      <c r="P6" s="37">
        <v>2009</v>
      </c>
      <c r="Q6" s="37">
        <v>2009</v>
      </c>
      <c r="R6" s="37" t="s">
        <v>650</v>
      </c>
      <c r="S6" s="60" t="s">
        <v>22</v>
      </c>
    </row>
    <row r="7" spans="1:18" ht="12.75">
      <c r="A7" t="s">
        <v>517</v>
      </c>
      <c r="B7" s="4">
        <v>57.107</v>
      </c>
      <c r="C7" s="2">
        <v>4500</v>
      </c>
      <c r="D7" s="2">
        <v>4500</v>
      </c>
      <c r="E7" s="2">
        <v>4500</v>
      </c>
      <c r="F7" s="2">
        <v>4500</v>
      </c>
      <c r="G7" s="2">
        <v>5000</v>
      </c>
      <c r="H7" s="2">
        <v>1125</v>
      </c>
      <c r="I7" s="2">
        <v>4625</v>
      </c>
      <c r="J7" s="2">
        <v>4500</v>
      </c>
      <c r="K7" s="2"/>
      <c r="L7" s="2"/>
      <c r="M7" s="2"/>
      <c r="N7" s="2"/>
      <c r="O7" s="2"/>
      <c r="P7" s="2"/>
      <c r="Q7" s="2"/>
      <c r="R7" s="64" t="e">
        <f>(Q7-N7)/N7</f>
        <v>#DIV/0!</v>
      </c>
    </row>
    <row r="8" spans="2:18" ht="12.7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9"/>
    </row>
    <row r="9" spans="1:18" ht="12.75">
      <c r="A9" t="s">
        <v>280</v>
      </c>
      <c r="B9" s="4">
        <v>57.1075</v>
      </c>
      <c r="C9" s="2"/>
      <c r="D9" s="2"/>
      <c r="E9" s="2"/>
      <c r="F9" s="2"/>
      <c r="G9" s="2">
        <v>500</v>
      </c>
      <c r="H9" s="2"/>
      <c r="I9" s="2"/>
      <c r="J9" s="2">
        <v>100</v>
      </c>
      <c r="K9" s="2">
        <v>100</v>
      </c>
      <c r="L9" s="2"/>
      <c r="M9" s="2">
        <v>100</v>
      </c>
      <c r="N9" s="2">
        <v>100</v>
      </c>
      <c r="O9" s="2">
        <v>1000</v>
      </c>
      <c r="P9" s="2">
        <v>1000</v>
      </c>
      <c r="Q9" s="2">
        <v>950</v>
      </c>
      <c r="R9" s="64">
        <f>(Q9-N9)/N9</f>
        <v>8.5</v>
      </c>
    </row>
    <row r="10" spans="2:18" ht="12.7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9"/>
    </row>
    <row r="11" spans="1:18" ht="12.75">
      <c r="A11" s="6" t="s">
        <v>23</v>
      </c>
      <c r="B11" s="6"/>
      <c r="C11" s="8">
        <f>SUM(C7:C7)</f>
        <v>4500</v>
      </c>
      <c r="D11" s="8">
        <f>SUM(D7:D7)</f>
        <v>4500</v>
      </c>
      <c r="E11" s="8">
        <f>SUM(E7:E10)</f>
        <v>4500</v>
      </c>
      <c r="F11" s="8">
        <f>SUM(F7:F10)</f>
        <v>4500</v>
      </c>
      <c r="G11" s="8">
        <f>SUM(G7:G10)</f>
        <v>5500</v>
      </c>
      <c r="H11" s="8">
        <f>SUM(H7:H10)</f>
        <v>1125</v>
      </c>
      <c r="I11" s="8">
        <f>SUM(I7:I10)</f>
        <v>4625</v>
      </c>
      <c r="J11" s="8">
        <v>4600</v>
      </c>
      <c r="K11" s="8">
        <f aca="true" t="shared" si="0" ref="K11:Q11">SUM(K7:K10)</f>
        <v>100</v>
      </c>
      <c r="L11" s="8">
        <f t="shared" si="0"/>
        <v>0</v>
      </c>
      <c r="M11" s="8">
        <f t="shared" si="0"/>
        <v>100</v>
      </c>
      <c r="N11" s="8">
        <f t="shared" si="0"/>
        <v>100</v>
      </c>
      <c r="O11" s="8">
        <f t="shared" si="0"/>
        <v>1000</v>
      </c>
      <c r="P11" s="8">
        <f t="shared" si="0"/>
        <v>1000</v>
      </c>
      <c r="Q11" s="8">
        <f t="shared" si="0"/>
        <v>950</v>
      </c>
      <c r="R11" s="50">
        <f>(Q11-N11)/N11</f>
        <v>8.5</v>
      </c>
    </row>
    <row r="12" ht="12.75">
      <c r="R12" s="49"/>
    </row>
    <row r="13" spans="14:18" ht="12.75">
      <c r="N13" s="21" t="s">
        <v>357</v>
      </c>
      <c r="O13" s="21"/>
      <c r="P13" s="53">
        <f>O11-P11</f>
        <v>0</v>
      </c>
      <c r="R13" s="49"/>
    </row>
    <row r="14" spans="14:18" ht="12.75">
      <c r="N14" s="21" t="s">
        <v>545</v>
      </c>
      <c r="O14" s="21"/>
      <c r="P14" s="53">
        <f>N11-P11</f>
        <v>-900</v>
      </c>
      <c r="R14" s="49"/>
    </row>
    <row r="15" spans="14:18" ht="12.75">
      <c r="N15" s="21" t="s">
        <v>307</v>
      </c>
      <c r="O15" s="21"/>
      <c r="P15" s="53">
        <f>P11-Q11</f>
        <v>50</v>
      </c>
      <c r="R15" s="49"/>
    </row>
    <row r="16" ht="12.75">
      <c r="R16" s="49"/>
    </row>
    <row r="17" ht="12.75">
      <c r="R17" s="49"/>
    </row>
    <row r="18" ht="12.75">
      <c r="R18" s="49"/>
    </row>
    <row r="19" ht="12.75">
      <c r="R19" s="49"/>
    </row>
    <row r="20" spans="18:20" ht="12.75">
      <c r="R20" s="49"/>
      <c r="T20" t="s">
        <v>489</v>
      </c>
    </row>
    <row r="21" ht="12.75">
      <c r="R21" s="49"/>
    </row>
    <row r="22" ht="12.75">
      <c r="R22" s="49"/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31" ht="12.75"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53" spans="3:17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60" ht="12.75">
      <c r="R60" s="2"/>
    </row>
    <row r="61" ht="12.75">
      <c r="R61" s="2"/>
    </row>
    <row r="62" ht="12.75">
      <c r="R62" s="2"/>
    </row>
    <row r="63" ht="12.75">
      <c r="R63" s="2"/>
    </row>
    <row r="64" ht="12.75">
      <c r="R64" s="2"/>
    </row>
    <row r="65" ht="12.75">
      <c r="R65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T68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6.8515625" style="0" hidden="1" customWidth="1"/>
    <col min="4" max="8" width="11.7109375" style="0" hidden="1" customWidth="1"/>
    <col min="9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7" max="17" width="8.00390625" style="0" bestFit="1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367</v>
      </c>
      <c r="L3" s="54">
        <v>6</v>
      </c>
      <c r="M3" s="9"/>
      <c r="R3" s="1" t="s">
        <v>309</v>
      </c>
    </row>
    <row r="4" spans="3:18" ht="12.75">
      <c r="C4" s="1"/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296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330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3.5" thickBot="1">
      <c r="A6" t="s">
        <v>25</v>
      </c>
      <c r="C6" s="1">
        <v>1999</v>
      </c>
      <c r="D6" s="59">
        <v>2000</v>
      </c>
      <c r="E6" s="59">
        <v>2001</v>
      </c>
      <c r="F6" s="59">
        <v>2002</v>
      </c>
      <c r="G6" s="59">
        <v>2003</v>
      </c>
      <c r="H6" s="59">
        <v>2004</v>
      </c>
      <c r="I6" s="59">
        <v>2005</v>
      </c>
      <c r="J6" s="59">
        <v>2006</v>
      </c>
      <c r="K6" s="59">
        <v>2007</v>
      </c>
      <c r="L6" s="37">
        <v>2008</v>
      </c>
      <c r="M6" s="37">
        <v>2008</v>
      </c>
      <c r="N6" s="37">
        <v>2008</v>
      </c>
      <c r="O6" s="37">
        <v>2009</v>
      </c>
      <c r="P6" s="37">
        <v>2009</v>
      </c>
      <c r="Q6" s="37">
        <v>2009</v>
      </c>
      <c r="R6" s="37" t="s">
        <v>650</v>
      </c>
      <c r="S6" s="60" t="s">
        <v>22</v>
      </c>
    </row>
    <row r="7" spans="1:18" ht="12.75">
      <c r="A7" t="s">
        <v>242</v>
      </c>
      <c r="B7" s="4">
        <v>57.108</v>
      </c>
      <c r="C7" s="2"/>
      <c r="D7" s="2"/>
      <c r="E7" s="2"/>
      <c r="F7" s="2"/>
      <c r="G7" s="2">
        <v>25000</v>
      </c>
      <c r="H7" s="2">
        <v>20000</v>
      </c>
      <c r="I7" s="2">
        <v>20000</v>
      </c>
      <c r="J7" s="2">
        <v>20000</v>
      </c>
      <c r="K7" s="2">
        <v>25000</v>
      </c>
      <c r="L7" s="2">
        <v>12500</v>
      </c>
      <c r="M7" s="2">
        <v>25000</v>
      </c>
      <c r="N7" s="2">
        <v>25000</v>
      </c>
      <c r="O7" s="2">
        <v>25000</v>
      </c>
      <c r="P7" s="2">
        <v>25000</v>
      </c>
      <c r="Q7" s="2">
        <v>23750</v>
      </c>
      <c r="R7" s="64">
        <f>(Q7-N7)/N7</f>
        <v>-0.05</v>
      </c>
    </row>
    <row r="8" spans="1:18" ht="12.75">
      <c r="A8" t="s">
        <v>709</v>
      </c>
      <c r="B8" s="4"/>
      <c r="C8" s="2"/>
      <c r="D8" s="2"/>
      <c r="E8" s="2"/>
      <c r="F8" s="2"/>
      <c r="G8" s="2"/>
      <c r="H8" s="2"/>
      <c r="I8" s="2"/>
      <c r="J8" s="2"/>
      <c r="K8" s="2"/>
      <c r="L8" s="2">
        <v>1884</v>
      </c>
      <c r="M8" s="2">
        <v>1884</v>
      </c>
      <c r="N8" s="2"/>
      <c r="O8" s="2"/>
      <c r="P8" s="2"/>
      <c r="Q8" s="2"/>
      <c r="R8" s="49"/>
    </row>
    <row r="9" spans="1:18" ht="12.75">
      <c r="A9" s="6" t="s">
        <v>23</v>
      </c>
      <c r="B9" s="6"/>
      <c r="C9" s="8" t="e">
        <f>SUM(#REF!)</f>
        <v>#REF!</v>
      </c>
      <c r="D9" s="8"/>
      <c r="E9" s="8">
        <f>SUM(E7:E8)</f>
        <v>0</v>
      </c>
      <c r="F9" s="8">
        <f>SUM(F7:F8)</f>
        <v>0</v>
      </c>
      <c r="G9" s="8">
        <f>SUM(G7:G8)</f>
        <v>25000</v>
      </c>
      <c r="H9" s="8">
        <f>SUM(H7:H8)</f>
        <v>20000</v>
      </c>
      <c r="I9" s="8">
        <f>SUM(I7:I8)</f>
        <v>20000</v>
      </c>
      <c r="J9" s="8">
        <v>20000</v>
      </c>
      <c r="K9" s="8">
        <f aca="true" t="shared" si="0" ref="K9:Q9">SUM(K7:K8)</f>
        <v>25000</v>
      </c>
      <c r="L9" s="8">
        <f t="shared" si="0"/>
        <v>14384</v>
      </c>
      <c r="M9" s="8">
        <f t="shared" si="0"/>
        <v>26884</v>
      </c>
      <c r="N9" s="8">
        <f t="shared" si="0"/>
        <v>25000</v>
      </c>
      <c r="O9" s="8">
        <f t="shared" si="0"/>
        <v>25000</v>
      </c>
      <c r="P9" s="8">
        <f t="shared" si="0"/>
        <v>25000</v>
      </c>
      <c r="Q9" s="8">
        <f t="shared" si="0"/>
        <v>23750</v>
      </c>
      <c r="R9" s="50">
        <f>(Q9-N9)/N9</f>
        <v>-0.05</v>
      </c>
    </row>
    <row r="10" ht="12.75">
      <c r="R10" s="49"/>
    </row>
    <row r="11" spans="14:18" ht="12.75">
      <c r="N11" s="21" t="s">
        <v>357</v>
      </c>
      <c r="O11" s="21"/>
      <c r="P11" s="53">
        <f>O9-P9</f>
        <v>0</v>
      </c>
      <c r="R11" s="49"/>
    </row>
    <row r="12" spans="14:18" ht="12.75">
      <c r="N12" s="21" t="s">
        <v>545</v>
      </c>
      <c r="O12" s="21"/>
      <c r="P12" s="53">
        <f>N9-P9</f>
        <v>0</v>
      </c>
      <c r="R12" s="49"/>
    </row>
    <row r="13" spans="14:18" ht="12.75">
      <c r="N13" s="21" t="s">
        <v>307</v>
      </c>
      <c r="O13" s="21"/>
      <c r="P13" s="53">
        <f>P9-Q9</f>
        <v>1250</v>
      </c>
      <c r="R13" s="49"/>
    </row>
    <row r="14" ht="12.75">
      <c r="R14" s="49"/>
    </row>
    <row r="15" spans="1:18" ht="12.75">
      <c r="A15" s="6"/>
      <c r="R15" s="49"/>
    </row>
    <row r="16" ht="12.75">
      <c r="R16" s="49"/>
    </row>
    <row r="17" ht="12.75">
      <c r="R17" s="49"/>
    </row>
    <row r="18" spans="1:18" ht="12.75">
      <c r="A18" s="6"/>
      <c r="R18" s="49"/>
    </row>
    <row r="19" ht="12.75">
      <c r="R19" s="49"/>
    </row>
    <row r="20" spans="18:20" ht="12.75">
      <c r="R20" s="49"/>
      <c r="T20" t="s">
        <v>489</v>
      </c>
    </row>
    <row r="21" ht="12.75">
      <c r="R21" s="49"/>
    </row>
    <row r="22" ht="12.75">
      <c r="R22" s="49"/>
    </row>
    <row r="23" ht="12.75">
      <c r="R23" s="49"/>
    </row>
    <row r="24" ht="12.75">
      <c r="R24" s="49"/>
    </row>
    <row r="25" ht="12.75">
      <c r="R25" s="49"/>
    </row>
    <row r="26" ht="12.75">
      <c r="R26" s="49"/>
    </row>
    <row r="27" ht="12.75">
      <c r="R27" s="49"/>
    </row>
    <row r="28" ht="12.75">
      <c r="R28" s="49"/>
    </row>
    <row r="29" ht="12.75">
      <c r="R29" s="49"/>
    </row>
    <row r="30" ht="12.75">
      <c r="R30" s="49"/>
    </row>
    <row r="31" ht="12.75">
      <c r="R31" s="49"/>
    </row>
    <row r="32" ht="12.75">
      <c r="R32" s="49"/>
    </row>
    <row r="33" ht="12.75">
      <c r="R33" s="49"/>
    </row>
    <row r="34" ht="12.75"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48" ht="12.75">
      <c r="R48" s="49"/>
    </row>
    <row r="49" ht="12.75">
      <c r="R49" s="49"/>
    </row>
    <row r="50" ht="12.75">
      <c r="R50" s="49"/>
    </row>
    <row r="56" spans="3:17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3" ht="12.75">
      <c r="R63" s="2"/>
    </row>
    <row r="64" ht="12.75">
      <c r="R64" s="2"/>
    </row>
    <row r="65" ht="12.75">
      <c r="R65" s="2"/>
    </row>
    <row r="66" ht="12.75">
      <c r="R66" s="2"/>
    </row>
    <row r="67" ht="12.75">
      <c r="R67" s="2"/>
    </row>
    <row r="68" ht="12.75">
      <c r="R68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77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7" width="8.00390625" style="0" hidden="1" customWidth="1"/>
    <col min="8" max="8" width="7.57421875" style="0" hidden="1" customWidth="1"/>
    <col min="9" max="10" width="8.00390625" style="0" bestFit="1" customWidth="1"/>
    <col min="11" max="11" width="8.00390625" style="0" customWidth="1"/>
    <col min="12" max="12" width="7.57421875" style="0" bestFit="1" customWidth="1"/>
    <col min="13" max="13" width="8.00390625" style="0" bestFit="1" customWidth="1"/>
    <col min="14" max="14" width="12.00390625" style="0" customWidth="1"/>
    <col min="16" max="16" width="11.00390625" style="0" bestFit="1" customWidth="1"/>
    <col min="17" max="17" width="8.7109375" style="0" bestFit="1" customWidth="1"/>
    <col min="18" max="18" width="11.00390625" style="0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293</v>
      </c>
      <c r="L3" s="54">
        <v>6</v>
      </c>
      <c r="R3" s="1" t="s">
        <v>309</v>
      </c>
    </row>
    <row r="4" spans="3:18" ht="12.75">
      <c r="C4" s="1" t="s">
        <v>15</v>
      </c>
      <c r="L4" s="1" t="s">
        <v>305</v>
      </c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9" t="s">
        <v>296</v>
      </c>
      <c r="M5" s="1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3" t="s">
        <v>22</v>
      </c>
    </row>
    <row r="7" spans="1:19" ht="12.75">
      <c r="A7" s="21" t="s">
        <v>553</v>
      </c>
      <c r="B7" s="4">
        <v>51.11</v>
      </c>
      <c r="C7" s="2">
        <v>27936</v>
      </c>
      <c r="D7" s="2">
        <v>28774</v>
      </c>
      <c r="E7" s="2">
        <v>27804</v>
      </c>
      <c r="F7" s="2">
        <v>30215</v>
      </c>
      <c r="G7" s="2">
        <v>26864</v>
      </c>
      <c r="H7" s="2">
        <v>30507</v>
      </c>
      <c r="I7" s="2">
        <v>25205</v>
      </c>
      <c r="J7" s="2">
        <v>27702</v>
      </c>
      <c r="K7" s="2">
        <v>15821</v>
      </c>
      <c r="L7" s="2">
        <v>8631</v>
      </c>
      <c r="M7" s="29">
        <v>13090</v>
      </c>
      <c r="N7" s="20">
        <v>13090</v>
      </c>
      <c r="O7" s="2">
        <f>27206*1.025</f>
        <v>27886.149999999998</v>
      </c>
      <c r="P7" s="20">
        <f>13188.552+300</f>
        <v>13488.552</v>
      </c>
      <c r="Q7" s="20">
        <f>13188.552+300</f>
        <v>13488.552</v>
      </c>
      <c r="R7" s="64">
        <f>(Q7-N13)/N13</f>
        <v>0.133777590989325</v>
      </c>
      <c r="S7" t="s">
        <v>5</v>
      </c>
    </row>
    <row r="8" spans="1:18" ht="12.75" hidden="1">
      <c r="A8" t="s">
        <v>43</v>
      </c>
      <c r="B8" s="4">
        <v>51.13</v>
      </c>
      <c r="C8" s="2"/>
      <c r="D8" s="2"/>
      <c r="E8" s="2"/>
      <c r="F8" s="2">
        <v>111</v>
      </c>
      <c r="G8" s="2"/>
      <c r="H8" s="2"/>
      <c r="I8" s="2"/>
      <c r="J8" s="2"/>
      <c r="K8" s="2"/>
      <c r="L8" s="2"/>
      <c r="M8" s="29"/>
      <c r="N8" s="2"/>
      <c r="O8" s="2"/>
      <c r="P8" s="2"/>
      <c r="Q8" s="2"/>
      <c r="R8" s="64"/>
    </row>
    <row r="9" spans="1:18" ht="12.75">
      <c r="A9" t="s">
        <v>6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9"/>
      <c r="N9" s="2"/>
      <c r="O9" s="2">
        <v>4396</v>
      </c>
      <c r="P9" s="2"/>
      <c r="Q9" s="2">
        <v>4396</v>
      </c>
      <c r="R9" s="64"/>
    </row>
    <row r="10" spans="1:18" ht="12.75">
      <c r="A10" t="s">
        <v>635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9"/>
      <c r="N10" s="2"/>
      <c r="O10" s="2"/>
      <c r="P10" s="2"/>
      <c r="Q10" s="2"/>
      <c r="R10" s="64"/>
    </row>
    <row r="11" spans="1:19" ht="12.75">
      <c r="A11" t="s">
        <v>634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9"/>
      <c r="N11" s="2"/>
      <c r="O11" s="2">
        <v>872</v>
      </c>
      <c r="P11" s="2"/>
      <c r="Q11" s="2"/>
      <c r="R11" s="64"/>
      <c r="S11" t="s">
        <v>256</v>
      </c>
    </row>
    <row r="12" spans="1:18" ht="12.75">
      <c r="A12" t="s">
        <v>554</v>
      </c>
      <c r="B12" s="4"/>
      <c r="C12" s="2"/>
      <c r="D12" s="2"/>
      <c r="E12" s="2"/>
      <c r="F12" s="2"/>
      <c r="G12" s="2"/>
      <c r="H12" s="2"/>
      <c r="I12" s="2"/>
      <c r="J12" s="2"/>
      <c r="K12" s="2">
        <v>581</v>
      </c>
      <c r="L12" s="2"/>
      <c r="M12" s="29">
        <v>600</v>
      </c>
      <c r="N12" s="2">
        <v>600</v>
      </c>
      <c r="O12" s="2">
        <v>560</v>
      </c>
      <c r="P12" s="2"/>
      <c r="Q12" s="2">
        <v>560</v>
      </c>
      <c r="R12" s="64"/>
    </row>
    <row r="13" spans="1:18" ht="12.75">
      <c r="A13" t="s">
        <v>761</v>
      </c>
      <c r="B13" s="4"/>
      <c r="C13" s="2"/>
      <c r="D13" s="2"/>
      <c r="E13" s="2"/>
      <c r="F13" s="2"/>
      <c r="G13" s="2"/>
      <c r="H13" s="2"/>
      <c r="I13" s="2"/>
      <c r="J13" s="2"/>
      <c r="K13" s="2">
        <v>19787</v>
      </c>
      <c r="L13" s="2">
        <v>9558</v>
      </c>
      <c r="M13" s="29">
        <v>12000</v>
      </c>
      <c r="N13" s="2">
        <v>11897</v>
      </c>
      <c r="O13" s="2">
        <v>12492</v>
      </c>
      <c r="P13" s="2">
        <v>11897</v>
      </c>
      <c r="Q13" s="2">
        <v>11897</v>
      </c>
      <c r="R13" s="64"/>
    </row>
    <row r="14" spans="1:18" ht="12.75">
      <c r="A14" t="s">
        <v>360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9"/>
      <c r="N14" s="2"/>
      <c r="O14" s="2">
        <v>4800</v>
      </c>
      <c r="P14" s="2"/>
      <c r="Q14" s="2"/>
      <c r="R14" s="64"/>
    </row>
    <row r="15" spans="1:18" ht="12.75">
      <c r="A15" t="s">
        <v>30</v>
      </c>
      <c r="B15" s="4">
        <v>51.22</v>
      </c>
      <c r="C15" s="2">
        <v>2106</v>
      </c>
      <c r="D15" s="2">
        <v>2159</v>
      </c>
      <c r="E15" s="2">
        <v>2081</v>
      </c>
      <c r="F15" s="2">
        <v>2269</v>
      </c>
      <c r="G15" s="2">
        <v>2017</v>
      </c>
      <c r="H15" s="2">
        <v>2334</v>
      </c>
      <c r="I15" s="2">
        <v>1920</v>
      </c>
      <c r="J15" s="2">
        <v>2119</v>
      </c>
      <c r="K15" s="2">
        <v>2724</v>
      </c>
      <c r="L15" s="2">
        <v>1392</v>
      </c>
      <c r="M15" s="2">
        <f>(M7+M9+M10+M11+M12+M13)*0.0765</f>
        <v>1965.2849999999999</v>
      </c>
      <c r="N15" s="2">
        <v>1957.4055</v>
      </c>
      <c r="O15" s="2">
        <f>(O7+O9+O10+O11+O12+O13)*0.0765</f>
        <v>3534.7704749999994</v>
      </c>
      <c r="P15" s="2">
        <f>(P7+P9+P10+P11+P12+P13)*0.0765</f>
        <v>1941.994728</v>
      </c>
      <c r="Q15" s="2">
        <f>(Q7+Q9+Q10+Q11+Q12+Q13)*0.0765</f>
        <v>2321.128728</v>
      </c>
      <c r="R15" s="64">
        <f>(Q15-N15)/N15</f>
        <v>0.1858190487356861</v>
      </c>
    </row>
    <row r="16" spans="1:18" ht="12.75">
      <c r="A16" t="s">
        <v>44</v>
      </c>
      <c r="B16" s="4">
        <v>51.24</v>
      </c>
      <c r="C16" s="2">
        <v>234</v>
      </c>
      <c r="D16" s="2">
        <v>245</v>
      </c>
      <c r="E16" s="2">
        <v>531</v>
      </c>
      <c r="F16" s="2"/>
      <c r="G16" s="2">
        <v>88</v>
      </c>
      <c r="H16" s="2"/>
      <c r="I16" s="2"/>
      <c r="J16" s="2"/>
      <c r="K16" s="2"/>
      <c r="L16" s="2"/>
      <c r="M16" s="29">
        <f>(12/$L$3)*L16</f>
        <v>0</v>
      </c>
      <c r="N16" s="20"/>
      <c r="O16" s="2">
        <v>200</v>
      </c>
      <c r="P16" s="20"/>
      <c r="Q16" s="20"/>
      <c r="R16" s="64"/>
    </row>
    <row r="17" spans="2:18" ht="12.75">
      <c r="B17" s="4"/>
      <c r="C17" s="2"/>
      <c r="D17" s="2"/>
      <c r="E17" s="2"/>
      <c r="F17" s="2"/>
      <c r="G17" s="2"/>
      <c r="H17" s="2"/>
      <c r="I17" s="2"/>
      <c r="J17" s="2">
        <v>40</v>
      </c>
      <c r="K17" s="2"/>
      <c r="L17" s="2"/>
      <c r="M17" s="29"/>
      <c r="N17" s="20"/>
      <c r="O17" s="2"/>
      <c r="P17" s="20"/>
      <c r="Q17" s="20"/>
      <c r="R17" s="64"/>
    </row>
    <row r="18" spans="1:18" ht="12.75">
      <c r="A18" t="s">
        <v>97</v>
      </c>
      <c r="B18" s="4">
        <v>52.121</v>
      </c>
      <c r="C18" s="2"/>
      <c r="D18" s="2"/>
      <c r="E18" s="2"/>
      <c r="F18" s="2"/>
      <c r="G18" s="2"/>
      <c r="H18" s="2"/>
      <c r="I18" s="2"/>
      <c r="J18" s="2">
        <v>928</v>
      </c>
      <c r="K18" s="2"/>
      <c r="L18" s="2">
        <v>0</v>
      </c>
      <c r="M18" s="29"/>
      <c r="N18" s="2"/>
      <c r="O18" s="2"/>
      <c r="P18" s="2"/>
      <c r="Q18" s="2"/>
      <c r="R18" s="64"/>
    </row>
    <row r="19" spans="1:18" ht="12.75">
      <c r="A19" t="s">
        <v>32</v>
      </c>
      <c r="B19" s="4">
        <v>52.32</v>
      </c>
      <c r="C19" s="2">
        <v>349</v>
      </c>
      <c r="D19" s="2">
        <v>517</v>
      </c>
      <c r="E19" s="2">
        <v>489</v>
      </c>
      <c r="F19" s="2">
        <v>559</v>
      </c>
      <c r="G19" s="2">
        <v>374</v>
      </c>
      <c r="H19" s="2">
        <v>391</v>
      </c>
      <c r="I19" s="2">
        <v>417</v>
      </c>
      <c r="J19" s="2">
        <v>513</v>
      </c>
      <c r="K19" s="2">
        <v>442</v>
      </c>
      <c r="L19" s="2">
        <v>230</v>
      </c>
      <c r="M19" s="29">
        <f>(12/$L$3)*L19</f>
        <v>460</v>
      </c>
      <c r="N19" s="2">
        <v>500</v>
      </c>
      <c r="O19" s="2">
        <v>500</v>
      </c>
      <c r="P19" s="2">
        <v>500</v>
      </c>
      <c r="Q19" s="2">
        <v>500</v>
      </c>
      <c r="R19" s="64">
        <f>(Q19-N19)/N19</f>
        <v>0</v>
      </c>
    </row>
    <row r="20" spans="1:18" ht="12.75">
      <c r="A20" t="s">
        <v>33</v>
      </c>
      <c r="B20" s="4">
        <v>52.321</v>
      </c>
      <c r="C20" s="2">
        <v>1637</v>
      </c>
      <c r="D20" s="2">
        <v>1612</v>
      </c>
      <c r="E20" s="2">
        <v>874</v>
      </c>
      <c r="F20" s="2">
        <v>1100</v>
      </c>
      <c r="G20" s="2">
        <v>1241</v>
      </c>
      <c r="H20" s="2">
        <v>2054</v>
      </c>
      <c r="I20" s="2">
        <v>2746</v>
      </c>
      <c r="J20" s="2">
        <v>2982</v>
      </c>
      <c r="K20" s="2">
        <v>1938</v>
      </c>
      <c r="L20" s="2">
        <v>68</v>
      </c>
      <c r="M20" s="29">
        <v>4000</v>
      </c>
      <c r="N20" s="2">
        <v>4000</v>
      </c>
      <c r="O20" s="2">
        <v>4000</v>
      </c>
      <c r="P20" s="2">
        <v>2000</v>
      </c>
      <c r="Q20" s="2">
        <v>3000</v>
      </c>
      <c r="R20" s="64">
        <f>(Q20-N20)/N20</f>
        <v>-0.25</v>
      </c>
    </row>
    <row r="21" spans="1:19" ht="12.75">
      <c r="A21" t="s">
        <v>45</v>
      </c>
      <c r="B21" s="4">
        <v>52.35</v>
      </c>
      <c r="C21" s="2">
        <v>821</v>
      </c>
      <c r="D21" s="2"/>
      <c r="E21" s="2">
        <v>71</v>
      </c>
      <c r="F21" s="2">
        <v>561</v>
      </c>
      <c r="G21" s="2">
        <v>635</v>
      </c>
      <c r="H21" s="2">
        <v>1218</v>
      </c>
      <c r="I21" s="2">
        <v>1129</v>
      </c>
      <c r="J21" s="2">
        <v>1393</v>
      </c>
      <c r="K21" s="2">
        <v>1367</v>
      </c>
      <c r="L21" s="2">
        <v>0</v>
      </c>
      <c r="M21" s="29">
        <v>200</v>
      </c>
      <c r="N21" s="2">
        <v>200</v>
      </c>
      <c r="O21" s="2">
        <v>1400</v>
      </c>
      <c r="P21" s="2">
        <v>200</v>
      </c>
      <c r="Q21" s="2">
        <v>1500</v>
      </c>
      <c r="R21" s="64"/>
      <c r="S21" s="31"/>
    </row>
    <row r="22" spans="1:19" ht="12.75">
      <c r="A22" t="s">
        <v>46</v>
      </c>
      <c r="B22" s="4">
        <v>52.37</v>
      </c>
      <c r="C22" s="2"/>
      <c r="D22" s="2"/>
      <c r="E22" s="2">
        <v>238</v>
      </c>
      <c r="F22" s="2">
        <v>355</v>
      </c>
      <c r="G22" s="2">
        <v>765</v>
      </c>
      <c r="H22" s="2">
        <v>1200</v>
      </c>
      <c r="I22" s="2">
        <v>935</v>
      </c>
      <c r="J22" s="2">
        <v>1260</v>
      </c>
      <c r="K22" s="2">
        <v>1300</v>
      </c>
      <c r="L22" s="2">
        <v>1120</v>
      </c>
      <c r="M22" s="29">
        <v>1100</v>
      </c>
      <c r="N22" s="2">
        <v>1100</v>
      </c>
      <c r="O22" s="2">
        <v>1200</v>
      </c>
      <c r="P22" s="2">
        <v>200</v>
      </c>
      <c r="Q22" s="2">
        <v>1250</v>
      </c>
      <c r="R22" s="64"/>
      <c r="S22" s="31"/>
    </row>
    <row r="23" spans="1:18" ht="12.75" hidden="1">
      <c r="A23" t="s">
        <v>35</v>
      </c>
      <c r="B23" s="4">
        <v>52.3602</v>
      </c>
      <c r="C23" s="2"/>
      <c r="D23" s="2"/>
      <c r="E23" s="2"/>
      <c r="F23" s="2"/>
      <c r="G23" s="2">
        <v>60</v>
      </c>
      <c r="H23" s="2"/>
      <c r="I23" s="2"/>
      <c r="J23" s="2"/>
      <c r="K23" s="2"/>
      <c r="L23" s="2"/>
      <c r="M23" s="29"/>
      <c r="N23" s="2"/>
      <c r="O23" s="2"/>
      <c r="P23" s="2"/>
      <c r="Q23" s="2"/>
      <c r="R23" s="64"/>
    </row>
    <row r="24" spans="1:18" ht="12.75">
      <c r="A24" t="s">
        <v>40</v>
      </c>
      <c r="B24" s="4">
        <v>53.171</v>
      </c>
      <c r="C24" s="2">
        <v>307</v>
      </c>
      <c r="D24" s="2">
        <v>259</v>
      </c>
      <c r="E24" s="2">
        <v>295</v>
      </c>
      <c r="F24" s="2">
        <v>386</v>
      </c>
      <c r="G24" s="2">
        <v>336</v>
      </c>
      <c r="H24" s="2">
        <v>435</v>
      </c>
      <c r="I24" s="2">
        <v>350</v>
      </c>
      <c r="J24" s="2">
        <v>459</v>
      </c>
      <c r="K24" s="2">
        <v>408</v>
      </c>
      <c r="L24" s="2">
        <v>542</v>
      </c>
      <c r="M24" s="29">
        <v>400</v>
      </c>
      <c r="N24" s="2">
        <v>400</v>
      </c>
      <c r="O24" s="2">
        <v>600</v>
      </c>
      <c r="P24" s="2">
        <v>400</v>
      </c>
      <c r="Q24" s="2">
        <v>600</v>
      </c>
      <c r="R24" s="64">
        <f>(Q24-N24)/N24</f>
        <v>0.5</v>
      </c>
    </row>
    <row r="25" spans="1:18" ht="12.75">
      <c r="A25" t="s">
        <v>467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29"/>
      <c r="N25" s="5"/>
      <c r="O25" s="2"/>
      <c r="P25" s="5"/>
      <c r="Q25" s="5"/>
      <c r="R25" s="64"/>
    </row>
    <row r="26" spans="1:18" ht="12.75">
      <c r="A26" t="s">
        <v>580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29"/>
      <c r="N26" s="5"/>
      <c r="O26" s="2"/>
      <c r="P26" s="5"/>
      <c r="Q26" s="5"/>
      <c r="R26" s="64"/>
    </row>
    <row r="27" spans="1:18" ht="12.75">
      <c r="A27" t="s">
        <v>636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29"/>
      <c r="N27" s="5"/>
      <c r="O27" s="2"/>
      <c r="P27" s="2"/>
      <c r="Q27" s="5"/>
      <c r="R27" s="64"/>
    </row>
    <row r="28" spans="1:20" ht="12.75">
      <c r="A28" t="s">
        <v>121</v>
      </c>
      <c r="B28" s="4">
        <v>54.24</v>
      </c>
      <c r="C28" s="5"/>
      <c r="D28" s="5"/>
      <c r="E28" s="5"/>
      <c r="F28" s="2">
        <v>711</v>
      </c>
      <c r="G28" s="2">
        <v>279</v>
      </c>
      <c r="H28" s="2"/>
      <c r="I28" s="2">
        <v>25</v>
      </c>
      <c r="J28" s="2"/>
      <c r="K28" s="2"/>
      <c r="L28" s="2">
        <v>126</v>
      </c>
      <c r="M28" s="29"/>
      <c r="N28" s="2"/>
      <c r="O28" s="2"/>
      <c r="P28" s="2"/>
      <c r="Q28" s="2"/>
      <c r="R28" s="49"/>
      <c r="T28" t="s">
        <v>489</v>
      </c>
    </row>
    <row r="29" spans="2:18" ht="12.7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9"/>
    </row>
    <row r="30" spans="1:18" ht="12.75">
      <c r="A30" s="6" t="s">
        <v>23</v>
      </c>
      <c r="B30" s="6"/>
      <c r="C30" s="7">
        <f>SUM(C7:C25)</f>
        <v>33390</v>
      </c>
      <c r="D30" s="8">
        <f>SUM(D7:D28)</f>
        <v>33566</v>
      </c>
      <c r="E30" s="8">
        <f>SUM(E7:E28)</f>
        <v>32383</v>
      </c>
      <c r="F30" s="8">
        <f>SUM(F7:F28)</f>
        <v>36267</v>
      </c>
      <c r="G30" s="8">
        <f>SUM(G7:G28)</f>
        <v>32659</v>
      </c>
      <c r="H30" s="8">
        <f>SUM(H7:H28)</f>
        <v>38139</v>
      </c>
      <c r="I30" s="8">
        <v>32727</v>
      </c>
      <c r="J30" s="8">
        <f>SUM(J7:J28)</f>
        <v>37396</v>
      </c>
      <c r="K30" s="8">
        <f>SUM(K7:K28)</f>
        <v>44368</v>
      </c>
      <c r="L30" s="8">
        <f>SUM(L7:L28)</f>
        <v>21667</v>
      </c>
      <c r="M30" s="8">
        <f>SUM(M7:M28)</f>
        <v>33815.285</v>
      </c>
      <c r="N30" s="8">
        <f>SUM(N7:N29)</f>
        <v>33744.4055</v>
      </c>
      <c r="O30" s="8">
        <f>SUM(O7:O29)</f>
        <v>62440.92047499999</v>
      </c>
      <c r="P30" s="8">
        <f>SUM(P7:P29)</f>
        <v>30627.546728</v>
      </c>
      <c r="Q30" s="8">
        <f>SUM(Q7:Q29)</f>
        <v>39512.680728</v>
      </c>
      <c r="R30" s="50">
        <f>(Q30-N30)/N30</f>
        <v>0.17094019416048087</v>
      </c>
    </row>
    <row r="31" spans="15:17" ht="12.75">
      <c r="O31" s="2"/>
      <c r="P31" s="2"/>
      <c r="Q31" s="5"/>
    </row>
    <row r="32" spans="14:16" ht="12.75">
      <c r="N32" s="21" t="s">
        <v>357</v>
      </c>
      <c r="O32" s="21"/>
      <c r="P32" s="53">
        <f>O30-P30</f>
        <v>31813.37374699999</v>
      </c>
    </row>
    <row r="33" spans="14:17" ht="12.75">
      <c r="N33" s="21" t="s">
        <v>545</v>
      </c>
      <c r="O33" s="21"/>
      <c r="P33" s="53">
        <f>N30-P30</f>
        <v>3116.8587719999996</v>
      </c>
      <c r="Q33" s="53"/>
    </row>
    <row r="34" spans="14:17" ht="12.75">
      <c r="N34" s="21" t="s">
        <v>307</v>
      </c>
      <c r="O34" s="21"/>
      <c r="P34" s="53">
        <f>P30-Q30</f>
        <v>-8885.133999999998</v>
      </c>
      <c r="Q34" s="53"/>
    </row>
    <row r="35" ht="12.75">
      <c r="A35" t="s">
        <v>762</v>
      </c>
    </row>
    <row r="47" spans="19:21" ht="12.75">
      <c r="S47" s="2"/>
      <c r="U47" s="5"/>
    </row>
    <row r="48" spans="19:21" ht="12.75">
      <c r="S48" s="2"/>
      <c r="U48" s="5"/>
    </row>
    <row r="49" ht="12.75">
      <c r="T49" s="2"/>
    </row>
    <row r="50" spans="19:21" ht="12.75">
      <c r="S50" s="5"/>
      <c r="T50" s="2"/>
      <c r="U50" s="5"/>
    </row>
    <row r="51" ht="12.75">
      <c r="T51" s="2"/>
    </row>
    <row r="52" ht="12.75">
      <c r="T52" s="2"/>
    </row>
    <row r="54" ht="12.75">
      <c r="U54" s="5"/>
    </row>
    <row r="55" spans="20:21" ht="12.75">
      <c r="T55" s="2"/>
      <c r="U55" s="5"/>
    </row>
    <row r="56" spans="20:21" ht="12.75">
      <c r="T56" s="2"/>
      <c r="U56" s="5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T57" s="2"/>
    </row>
    <row r="58" spans="3:21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T58" s="2"/>
      <c r="U58" s="5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T62" s="2"/>
    </row>
    <row r="63" ht="12.75">
      <c r="T63" s="2"/>
    </row>
    <row r="64" ht="12.75">
      <c r="T64" s="2"/>
    </row>
    <row r="65" spans="19:21" ht="12.75">
      <c r="S65" s="5"/>
      <c r="T65" s="2"/>
      <c r="U65" s="5"/>
    </row>
    <row r="67" ht="12.75">
      <c r="S67" s="77"/>
    </row>
    <row r="72" ht="12.75">
      <c r="R72" s="2"/>
    </row>
    <row r="73" ht="12.75">
      <c r="R73" s="2"/>
    </row>
    <row r="74" ht="12.75">
      <c r="R74" s="2"/>
    </row>
    <row r="75" ht="12.75">
      <c r="R75" s="2"/>
    </row>
    <row r="76" ht="12.75">
      <c r="R76" s="2"/>
    </row>
    <row r="77" ht="12.75">
      <c r="R77" s="2"/>
    </row>
  </sheetData>
  <sheetProtection/>
  <printOptions gridLines="1"/>
  <pageMargins left="0.25" right="0.25" top="1" bottom="0.55" header="0.5" footer="0.25"/>
  <pageSetup fitToHeight="1" fitToWidth="1" horizontalDpi="300" verticalDpi="300" orientation="landscape" scale="83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81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6" width="11.7109375" style="0" hidden="1" customWidth="1"/>
    <col min="7" max="8" width="8.00390625" style="0" hidden="1" customWidth="1"/>
    <col min="9" max="9" width="7.140625" style="0" bestFit="1" customWidth="1"/>
    <col min="10" max="12" width="11.7109375" style="0" customWidth="1"/>
    <col min="13" max="13" width="13.421875" style="0" bestFit="1" customWidth="1"/>
    <col min="14" max="15" width="11.7109375" style="0" customWidth="1"/>
    <col min="16" max="16" width="10.7109375" style="0" bestFit="1" customWidth="1"/>
    <col min="17" max="17" width="11.7109375" style="0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311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9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37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3" t="s">
        <v>22</v>
      </c>
    </row>
    <row r="7" spans="1:18" ht="12.75">
      <c r="A7" t="s">
        <v>492</v>
      </c>
      <c r="B7" s="4">
        <v>52.121</v>
      </c>
      <c r="C7" s="2">
        <v>85176</v>
      </c>
      <c r="D7" s="2">
        <v>74778</v>
      </c>
      <c r="E7" s="2">
        <v>58863</v>
      </c>
      <c r="F7" s="2">
        <v>38379</v>
      </c>
      <c r="G7" s="2">
        <v>50508</v>
      </c>
      <c r="H7" s="2">
        <v>35241</v>
      </c>
      <c r="I7" s="2">
        <f>33021+3251</f>
        <v>36272</v>
      </c>
      <c r="J7" s="2">
        <v>25928</v>
      </c>
      <c r="K7" s="2">
        <v>16686</v>
      </c>
      <c r="L7" s="2">
        <v>5288</v>
      </c>
      <c r="M7" s="29">
        <f>(12/$L$3)*L7</f>
        <v>10576</v>
      </c>
      <c r="N7" s="2">
        <v>20000</v>
      </c>
      <c r="O7" s="2">
        <v>20000</v>
      </c>
      <c r="P7" s="2">
        <v>20000</v>
      </c>
      <c r="Q7" s="2">
        <v>20000</v>
      </c>
      <c r="R7" s="49">
        <f>(Q7-N7)/N7</f>
        <v>0</v>
      </c>
    </row>
    <row r="8" spans="1:18" ht="12.75">
      <c r="A8" t="s">
        <v>224</v>
      </c>
      <c r="B8" s="4">
        <v>52.1211</v>
      </c>
      <c r="C8" s="2"/>
      <c r="D8" s="2"/>
      <c r="E8" s="2">
        <v>3076</v>
      </c>
      <c r="F8" s="2">
        <v>18669</v>
      </c>
      <c r="G8" s="2">
        <v>17991</v>
      </c>
      <c r="H8" s="2">
        <v>38452</v>
      </c>
      <c r="I8" s="2">
        <f>35146+1733</f>
        <v>36879</v>
      </c>
      <c r="J8" s="2">
        <v>28400</v>
      </c>
      <c r="K8" s="2">
        <v>76325</v>
      </c>
      <c r="L8" s="2">
        <v>13712</v>
      </c>
      <c r="M8" s="29">
        <f>(12/$L$3)*L8</f>
        <v>27424</v>
      </c>
      <c r="N8" s="2">
        <v>45000</v>
      </c>
      <c r="O8" s="2">
        <v>45000</v>
      </c>
      <c r="P8" s="2">
        <v>45000</v>
      </c>
      <c r="Q8" s="2">
        <v>40000</v>
      </c>
      <c r="R8" s="49">
        <f>(Q8-N8)/N8</f>
        <v>-0.1111111111111111</v>
      </c>
    </row>
    <row r="9" spans="2:18" ht="12.7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9"/>
    </row>
    <row r="10" spans="1:18" ht="12.75">
      <c r="A10" s="6" t="s">
        <v>23</v>
      </c>
      <c r="B10" s="6"/>
      <c r="C10" s="8">
        <f>SUM(C7:C8)</f>
        <v>85176</v>
      </c>
      <c r="D10" s="8">
        <f>SUM(D7:D8)</f>
        <v>74778</v>
      </c>
      <c r="E10" s="8">
        <f>SUM(E7:E9)</f>
        <v>61939</v>
      </c>
      <c r="F10" s="8">
        <f>SUM(F7:F9)</f>
        <v>57048</v>
      </c>
      <c r="G10" s="8">
        <f>SUM(G7:G9)</f>
        <v>68499</v>
      </c>
      <c r="H10" s="8">
        <f>SUM(H7:H9)</f>
        <v>73693</v>
      </c>
      <c r="I10" s="8">
        <v>73151</v>
      </c>
      <c r="J10" s="8">
        <v>54328</v>
      </c>
      <c r="K10" s="8">
        <f>SUM(K7:K8)</f>
        <v>93011</v>
      </c>
      <c r="L10" s="8">
        <f>SUM(L7:L8)</f>
        <v>19000</v>
      </c>
      <c r="M10" s="8">
        <f>SUM(M7:M8)</f>
        <v>38000</v>
      </c>
      <c r="N10" s="8">
        <f>SUM(N7:N9)</f>
        <v>65000</v>
      </c>
      <c r="O10" s="8">
        <f>SUM(O7:O9)</f>
        <v>65000</v>
      </c>
      <c r="P10" s="8">
        <f>SUM(P7:P9)</f>
        <v>65000</v>
      </c>
      <c r="Q10" s="8">
        <f>SUM(Q7:Q9)</f>
        <v>60000</v>
      </c>
      <c r="R10" s="57">
        <f>(Q10-N10)/N10</f>
        <v>-0.07692307692307693</v>
      </c>
    </row>
    <row r="12" spans="14:16" ht="12.75">
      <c r="N12" s="21" t="s">
        <v>357</v>
      </c>
      <c r="O12" s="21"/>
      <c r="P12" s="53">
        <f>O10-P10</f>
        <v>0</v>
      </c>
    </row>
    <row r="13" spans="14:16" ht="12.75">
      <c r="N13" s="21" t="s">
        <v>545</v>
      </c>
      <c r="O13" s="21"/>
      <c r="P13" s="53">
        <f>N10-P10</f>
        <v>0</v>
      </c>
    </row>
    <row r="14" spans="14:16" ht="12.75">
      <c r="N14" s="21" t="s">
        <v>307</v>
      </c>
      <c r="O14" s="21"/>
      <c r="P14" s="53">
        <f>P10-Q10</f>
        <v>5000</v>
      </c>
    </row>
    <row r="17" ht="12.75">
      <c r="A17" s="6"/>
    </row>
    <row r="20" ht="12.75">
      <c r="T20" t="s">
        <v>489</v>
      </c>
    </row>
    <row r="57" spans="3:17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76" ht="12.75">
      <c r="R76" s="2"/>
    </row>
    <row r="77" ht="12.75">
      <c r="R77" s="2"/>
    </row>
    <row r="78" ht="12.75">
      <c r="R78" s="2"/>
    </row>
    <row r="79" ht="12.75">
      <c r="R79" s="2"/>
    </row>
    <row r="80" ht="12.75">
      <c r="R80" s="2"/>
    </row>
    <row r="81" ht="12.75">
      <c r="R81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82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0.13671875" style="0" hidden="1" customWidth="1"/>
    <col min="5" max="8" width="11.7109375" style="0" hidden="1" customWidth="1"/>
    <col min="9" max="12" width="11.7109375" style="0" customWidth="1"/>
    <col min="13" max="13" width="13.421875" style="0" bestFit="1" customWidth="1"/>
    <col min="14" max="14" width="11.7109375" style="0" customWidth="1"/>
    <col min="15" max="16" width="12.00390625" style="0" bestFit="1" customWidth="1"/>
    <col min="17" max="17" width="11.7109375" style="0" customWidth="1"/>
    <col min="18" max="18" width="10.2812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312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306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19" ht="12.75">
      <c r="A7" s="21" t="s">
        <v>491</v>
      </c>
      <c r="B7" s="4">
        <v>51.11</v>
      </c>
      <c r="C7" s="2">
        <v>108542</v>
      </c>
      <c r="D7" s="2">
        <v>123147</v>
      </c>
      <c r="E7" s="2">
        <v>131934</v>
      </c>
      <c r="F7" s="2">
        <v>152298</v>
      </c>
      <c r="G7" s="2">
        <v>154703</v>
      </c>
      <c r="H7" s="2">
        <v>164989</v>
      </c>
      <c r="I7" s="2">
        <v>137575</v>
      </c>
      <c r="J7" s="2">
        <v>141432</v>
      </c>
      <c r="K7" s="2">
        <v>145438</v>
      </c>
      <c r="L7" s="2">
        <v>73404</v>
      </c>
      <c r="M7" s="2">
        <f>+L7/$L$3*12</f>
        <v>146808</v>
      </c>
      <c r="N7" s="2">
        <v>153400.051</v>
      </c>
      <c r="O7" s="2">
        <v>168456</v>
      </c>
      <c r="P7" s="2">
        <v>168456.47</v>
      </c>
      <c r="Q7" s="2">
        <v>168456.47</v>
      </c>
      <c r="R7" s="64">
        <f>(Q7-N7)/N7</f>
        <v>0.09815132981931013</v>
      </c>
      <c r="S7" s="31" t="s">
        <v>256</v>
      </c>
    </row>
    <row r="8" spans="1:19" ht="12.75" hidden="1">
      <c r="A8" t="s">
        <v>208</v>
      </c>
      <c r="B8" s="4">
        <v>51.13</v>
      </c>
      <c r="C8" s="2">
        <v>391</v>
      </c>
      <c r="D8" s="2">
        <v>697</v>
      </c>
      <c r="E8" s="2"/>
      <c r="F8" s="2"/>
      <c r="G8" s="2">
        <v>87</v>
      </c>
      <c r="H8" s="2"/>
      <c r="I8" s="2">
        <v>152</v>
      </c>
      <c r="J8" s="2"/>
      <c r="K8" s="2"/>
      <c r="L8" s="2"/>
      <c r="M8" s="2"/>
      <c r="O8" s="2"/>
      <c r="R8" s="64"/>
      <c r="S8" s="31"/>
    </row>
    <row r="9" spans="1:19" ht="12.75">
      <c r="A9" t="s">
        <v>700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2"/>
      <c r="R9" s="64"/>
      <c r="S9" s="31"/>
    </row>
    <row r="10" spans="1:19" ht="12.75">
      <c r="A10" t="s">
        <v>360</v>
      </c>
      <c r="B10" s="4">
        <v>51.21</v>
      </c>
      <c r="C10" s="2">
        <v>8554</v>
      </c>
      <c r="D10" s="2">
        <v>10707</v>
      </c>
      <c r="E10" s="2">
        <v>14862</v>
      </c>
      <c r="F10" s="2">
        <v>14198</v>
      </c>
      <c r="G10" s="2">
        <v>15113</v>
      </c>
      <c r="H10" s="2">
        <v>15805</v>
      </c>
      <c r="I10" s="2">
        <v>13484</v>
      </c>
      <c r="J10" s="2">
        <v>17111</v>
      </c>
      <c r="K10" s="2">
        <v>20055</v>
      </c>
      <c r="L10" s="2">
        <v>10219</v>
      </c>
      <c r="M10" s="2">
        <f>+L10/$L$3*12</f>
        <v>20438</v>
      </c>
      <c r="N10" s="29">
        <v>22078.5</v>
      </c>
      <c r="O10" s="29">
        <v>24000</v>
      </c>
      <c r="P10" s="29">
        <f>4800*5</f>
        <v>24000</v>
      </c>
      <c r="Q10" s="29">
        <f>4800*5</f>
        <v>24000</v>
      </c>
      <c r="R10" s="64">
        <f>(Q10-N10)/N10</f>
        <v>0.08703036891093145</v>
      </c>
      <c r="S10" s="31" t="s">
        <v>605</v>
      </c>
    </row>
    <row r="11" spans="1:19" ht="12.75">
      <c r="A11" t="s">
        <v>30</v>
      </c>
      <c r="B11" s="4">
        <v>51.22</v>
      </c>
      <c r="C11" s="2">
        <v>8290</v>
      </c>
      <c r="D11" s="2">
        <v>9431</v>
      </c>
      <c r="E11" s="2">
        <v>10050</v>
      </c>
      <c r="F11" s="2">
        <v>11671</v>
      </c>
      <c r="G11" s="2">
        <v>11753</v>
      </c>
      <c r="H11" s="2">
        <v>12519</v>
      </c>
      <c r="I11" s="2">
        <v>10355</v>
      </c>
      <c r="J11" s="2">
        <v>10548</v>
      </c>
      <c r="K11" s="2">
        <v>10813</v>
      </c>
      <c r="L11" s="2">
        <v>5391</v>
      </c>
      <c r="M11" s="2">
        <f>(M7+M8)*0.0765</f>
        <v>11230.812</v>
      </c>
      <c r="N11" s="2">
        <v>11735.1039015</v>
      </c>
      <c r="O11" s="2">
        <f>(O7+O9)*0.0765</f>
        <v>12886.884</v>
      </c>
      <c r="P11" s="2">
        <f>(P7+P9)*0.0765</f>
        <v>12886.919955</v>
      </c>
      <c r="Q11" s="2">
        <f>(Q7+Q9)*0.0765</f>
        <v>12886.919955</v>
      </c>
      <c r="R11" s="64">
        <f>(Q11-N11)/N11</f>
        <v>0.09815132981931006</v>
      </c>
      <c r="S11" s="31"/>
    </row>
    <row r="12" spans="1:18" ht="12.75">
      <c r="A12" t="s">
        <v>44</v>
      </c>
      <c r="B12" s="4">
        <v>51.24</v>
      </c>
      <c r="C12" s="2">
        <v>1980</v>
      </c>
      <c r="D12" s="2">
        <v>2072</v>
      </c>
      <c r="E12" s="2">
        <v>2319</v>
      </c>
      <c r="F12" s="2">
        <v>2621</v>
      </c>
      <c r="G12" s="2">
        <v>2700</v>
      </c>
      <c r="H12" s="2">
        <v>3037</v>
      </c>
      <c r="I12" s="2">
        <v>1493</v>
      </c>
      <c r="J12" s="2">
        <v>1991</v>
      </c>
      <c r="K12" s="2">
        <v>3068</v>
      </c>
      <c r="L12" s="2">
        <v>1401</v>
      </c>
      <c r="M12" s="2">
        <f>+L12/$L$3*12</f>
        <v>2802</v>
      </c>
      <c r="N12" s="2">
        <v>3400</v>
      </c>
      <c r="O12" s="2">
        <v>4200</v>
      </c>
      <c r="P12" s="2">
        <v>4200</v>
      </c>
      <c r="Q12" s="2">
        <v>4200</v>
      </c>
      <c r="R12" s="64">
        <f>(Q12-N12)/N12</f>
        <v>0.23529411764705882</v>
      </c>
    </row>
    <row r="13" spans="1:18" ht="12.75">
      <c r="A13" t="s">
        <v>529</v>
      </c>
      <c r="B13" s="4">
        <v>51.26</v>
      </c>
      <c r="C13" s="2"/>
      <c r="D13" s="2"/>
      <c r="E13" s="2"/>
      <c r="F13" s="2"/>
      <c r="G13" s="2"/>
      <c r="H13" s="2"/>
      <c r="I13" s="2"/>
      <c r="J13" s="2">
        <v>3262</v>
      </c>
      <c r="K13" s="2"/>
      <c r="L13" s="2"/>
      <c r="M13" s="2"/>
      <c r="N13" s="2"/>
      <c r="O13" s="2"/>
      <c r="P13" s="2"/>
      <c r="Q13" s="2"/>
      <c r="R13" s="64"/>
    </row>
    <row r="14" spans="2:18" ht="12.75">
      <c r="B14" s="4"/>
      <c r="C14" s="2"/>
      <c r="D14" s="2"/>
      <c r="E14" s="2"/>
      <c r="F14" s="2"/>
      <c r="G14" s="2"/>
      <c r="H14" s="2"/>
      <c r="I14" s="2"/>
      <c r="J14" s="2">
        <v>208</v>
      </c>
      <c r="K14" s="2"/>
      <c r="L14" s="2"/>
      <c r="M14" s="2"/>
      <c r="O14" s="2"/>
      <c r="R14" s="64"/>
    </row>
    <row r="15" spans="1:19" ht="12.75">
      <c r="A15" t="s">
        <v>97</v>
      </c>
      <c r="B15" s="4">
        <v>52.121</v>
      </c>
      <c r="C15" s="2"/>
      <c r="D15" s="2"/>
      <c r="E15" s="2"/>
      <c r="F15" s="2"/>
      <c r="G15" s="2"/>
      <c r="H15" s="2"/>
      <c r="I15" s="2">
        <f>1601+542</f>
        <v>2143</v>
      </c>
      <c r="J15" s="2">
        <v>2801</v>
      </c>
      <c r="K15" s="2">
        <v>3137</v>
      </c>
      <c r="L15" s="2">
        <v>655</v>
      </c>
      <c r="M15" s="2">
        <f aca="true" t="shared" si="0" ref="M15:M20">+L15/$L$3*12</f>
        <v>1310</v>
      </c>
      <c r="N15">
        <v>2500</v>
      </c>
      <c r="O15" s="2">
        <v>1000</v>
      </c>
      <c r="P15" s="2">
        <v>1000</v>
      </c>
      <c r="Q15" s="2">
        <v>1000</v>
      </c>
      <c r="R15" s="64"/>
      <c r="S15" s="2"/>
    </row>
    <row r="16" spans="1:18" ht="12.75">
      <c r="A16" t="s">
        <v>403</v>
      </c>
      <c r="B16" s="4">
        <v>52.1211</v>
      </c>
      <c r="C16" s="2"/>
      <c r="D16" s="2"/>
      <c r="E16" s="2"/>
      <c r="F16" s="2"/>
      <c r="G16" s="2"/>
      <c r="H16" s="2"/>
      <c r="I16" s="2">
        <v>3082</v>
      </c>
      <c r="J16" s="2"/>
      <c r="K16" s="2"/>
      <c r="L16" s="2">
        <v>0</v>
      </c>
      <c r="M16" s="2">
        <v>2500</v>
      </c>
      <c r="N16" s="2">
        <v>2500</v>
      </c>
      <c r="O16" s="2"/>
      <c r="P16" s="2"/>
      <c r="Q16" s="2"/>
      <c r="R16" s="64"/>
    </row>
    <row r="17" spans="2:18" ht="12.75">
      <c r="B17" s="4">
        <v>52.13</v>
      </c>
      <c r="C17" s="2"/>
      <c r="D17" s="2"/>
      <c r="E17" s="2"/>
      <c r="F17" s="2"/>
      <c r="G17" s="2">
        <v>685</v>
      </c>
      <c r="H17" s="2"/>
      <c r="I17" s="2">
        <v>3090</v>
      </c>
      <c r="J17" s="2"/>
      <c r="K17" s="2"/>
      <c r="L17" s="2"/>
      <c r="M17" s="2">
        <f t="shared" si="0"/>
        <v>0</v>
      </c>
      <c r="O17" s="2"/>
      <c r="R17" s="64"/>
    </row>
    <row r="18" spans="1:18" ht="12.75" hidden="1">
      <c r="A18" t="s">
        <v>51</v>
      </c>
      <c r="B18" s="4">
        <v>52.1305</v>
      </c>
      <c r="C18" s="2"/>
      <c r="D18" s="2"/>
      <c r="E18" s="2">
        <v>791</v>
      </c>
      <c r="F18" s="2"/>
      <c r="G18" s="2"/>
      <c r="H18" s="2"/>
      <c r="I18" s="2"/>
      <c r="J18" s="2"/>
      <c r="K18" s="2"/>
      <c r="L18" s="2"/>
      <c r="M18" s="2">
        <f t="shared" si="0"/>
        <v>0</v>
      </c>
      <c r="O18" s="2"/>
      <c r="R18" s="64"/>
    </row>
    <row r="19" spans="1:18" ht="12.75">
      <c r="A19" t="s">
        <v>52</v>
      </c>
      <c r="B19" s="4">
        <v>52.131</v>
      </c>
      <c r="C19" s="2">
        <v>3232</v>
      </c>
      <c r="D19" s="2">
        <v>2488</v>
      </c>
      <c r="E19" s="2">
        <v>9004</v>
      </c>
      <c r="F19" s="2">
        <v>14311</v>
      </c>
      <c r="G19" s="2">
        <v>16336</v>
      </c>
      <c r="H19" s="2">
        <v>16553</v>
      </c>
      <c r="I19" s="2">
        <v>20343</v>
      </c>
      <c r="J19" s="2">
        <v>16877</v>
      </c>
      <c r="K19" s="2">
        <v>19971</v>
      </c>
      <c r="L19" s="2">
        <v>11662</v>
      </c>
      <c r="M19" s="2">
        <v>18000</v>
      </c>
      <c r="N19" s="2">
        <v>18000</v>
      </c>
      <c r="O19" s="2">
        <v>22000</v>
      </c>
      <c r="P19" s="2">
        <v>18000</v>
      </c>
      <c r="Q19" s="2">
        <v>18000</v>
      </c>
      <c r="R19" s="64">
        <f>(Q19-N19)/N19</f>
        <v>0</v>
      </c>
    </row>
    <row r="20" spans="1:18" ht="12.75">
      <c r="A20" t="s">
        <v>61</v>
      </c>
      <c r="B20" s="4">
        <v>52.1312</v>
      </c>
      <c r="C20" s="2"/>
      <c r="D20" s="2"/>
      <c r="E20" s="2">
        <v>297</v>
      </c>
      <c r="F20" s="2">
        <v>648</v>
      </c>
      <c r="G20" s="2">
        <v>370</v>
      </c>
      <c r="H20" s="2">
        <v>924</v>
      </c>
      <c r="I20" s="2">
        <v>884</v>
      </c>
      <c r="J20" s="2">
        <v>1141</v>
      </c>
      <c r="K20" s="2">
        <v>1309</v>
      </c>
      <c r="L20" s="2">
        <v>152</v>
      </c>
      <c r="M20" s="2">
        <f t="shared" si="0"/>
        <v>304</v>
      </c>
      <c r="N20" s="2">
        <v>1000</v>
      </c>
      <c r="O20" s="2">
        <v>500</v>
      </c>
      <c r="P20" s="2">
        <v>500</v>
      </c>
      <c r="Q20" s="2">
        <v>500</v>
      </c>
      <c r="R20" s="64">
        <f>(Q20-N20)/N20</f>
        <v>-0.5</v>
      </c>
    </row>
    <row r="21" spans="1:18" ht="11.25" customHeight="1" hidden="1">
      <c r="A21" t="s">
        <v>359</v>
      </c>
      <c r="B21" s="4">
        <v>52.22</v>
      </c>
      <c r="C21" s="2"/>
      <c r="D21" s="2"/>
      <c r="E21" s="2"/>
      <c r="F21" s="2">
        <v>375</v>
      </c>
      <c r="G21" s="2"/>
      <c r="H21" s="2"/>
      <c r="I21" s="2"/>
      <c r="J21" s="2"/>
      <c r="K21" s="2"/>
      <c r="L21" s="2"/>
      <c r="M21" s="2"/>
      <c r="O21" s="2"/>
      <c r="R21" s="64"/>
    </row>
    <row r="22" spans="1:18" ht="12.75" hidden="1">
      <c r="A22" t="s">
        <v>53</v>
      </c>
      <c r="B22" s="4">
        <v>52.2204</v>
      </c>
      <c r="C22" s="2">
        <v>759</v>
      </c>
      <c r="D22" s="2">
        <v>811</v>
      </c>
      <c r="E22" s="2">
        <v>378</v>
      </c>
      <c r="F22" s="2">
        <v>294</v>
      </c>
      <c r="G22" s="2">
        <v>234</v>
      </c>
      <c r="H22" s="2">
        <v>162</v>
      </c>
      <c r="I22" s="2"/>
      <c r="J22" s="2"/>
      <c r="K22" s="2"/>
      <c r="L22" s="2"/>
      <c r="M22" s="2">
        <f aca="true" t="shared" si="1" ref="M22:M31">+L22/$L$3*12</f>
        <v>0</v>
      </c>
      <c r="N22" s="2"/>
      <c r="O22" s="2"/>
      <c r="P22" s="2"/>
      <c r="Q22" s="2"/>
      <c r="R22" s="64" t="e">
        <f>(Q22-N22)/N22</f>
        <v>#DIV/0!</v>
      </c>
    </row>
    <row r="23" spans="1:18" ht="12.75" hidden="1">
      <c r="A23" t="s">
        <v>66</v>
      </c>
      <c r="B23" s="4">
        <v>52.2206</v>
      </c>
      <c r="C23" s="5"/>
      <c r="D23" s="2">
        <v>2000</v>
      </c>
      <c r="E23" s="5"/>
      <c r="F23" s="5"/>
      <c r="G23" s="2">
        <v>718</v>
      </c>
      <c r="H23" s="5"/>
      <c r="I23" s="5"/>
      <c r="J23" s="5"/>
      <c r="K23" s="5"/>
      <c r="L23" s="5"/>
      <c r="M23" s="2">
        <f t="shared" si="1"/>
        <v>0</v>
      </c>
      <c r="O23" s="5"/>
      <c r="R23" s="64"/>
    </row>
    <row r="24" spans="1:18" ht="12.75">
      <c r="A24" t="s">
        <v>32</v>
      </c>
      <c r="B24" s="4">
        <v>52.32</v>
      </c>
      <c r="C24" s="2">
        <v>1799</v>
      </c>
      <c r="D24" s="2">
        <v>2232</v>
      </c>
      <c r="E24" s="2">
        <v>2206</v>
      </c>
      <c r="F24" s="2">
        <v>2421</v>
      </c>
      <c r="G24" s="2">
        <v>2427</v>
      </c>
      <c r="H24" s="2">
        <v>2351</v>
      </c>
      <c r="I24" s="2">
        <v>2588</v>
      </c>
      <c r="J24" s="2">
        <v>2468</v>
      </c>
      <c r="K24" s="2">
        <v>2360</v>
      </c>
      <c r="L24" s="2">
        <v>865</v>
      </c>
      <c r="M24" s="2">
        <f t="shared" si="1"/>
        <v>1730</v>
      </c>
      <c r="N24" s="2">
        <v>2300</v>
      </c>
      <c r="O24" s="2">
        <v>1800</v>
      </c>
      <c r="P24" s="2">
        <v>1800</v>
      </c>
      <c r="Q24" s="2">
        <v>1800</v>
      </c>
      <c r="R24" s="64">
        <f>(Q24-N24)/N24</f>
        <v>-0.21739130434782608</v>
      </c>
    </row>
    <row r="25" spans="1:18" ht="12.75">
      <c r="A25" t="s">
        <v>33</v>
      </c>
      <c r="B25" s="4">
        <v>52.321</v>
      </c>
      <c r="C25" s="2">
        <v>1308</v>
      </c>
      <c r="D25" s="2">
        <v>8846</v>
      </c>
      <c r="E25" s="2">
        <v>2556</v>
      </c>
      <c r="F25" s="2">
        <v>2044</v>
      </c>
      <c r="G25" s="2">
        <v>2457</v>
      </c>
      <c r="H25" s="2">
        <v>1925</v>
      </c>
      <c r="I25" s="2">
        <v>1791</v>
      </c>
      <c r="J25" s="2">
        <v>2761</v>
      </c>
      <c r="K25" s="2">
        <v>2670</v>
      </c>
      <c r="L25" s="2">
        <v>965</v>
      </c>
      <c r="M25" s="2">
        <f t="shared" si="1"/>
        <v>1930</v>
      </c>
      <c r="N25" s="2">
        <v>2600</v>
      </c>
      <c r="O25" s="2">
        <v>2200</v>
      </c>
      <c r="P25" s="2">
        <v>2200</v>
      </c>
      <c r="Q25" s="2">
        <v>2200</v>
      </c>
      <c r="R25" s="64">
        <f>(Q25-N25)/N25</f>
        <v>-0.15384615384615385</v>
      </c>
    </row>
    <row r="26" spans="1:19" ht="12.75">
      <c r="A26" t="s">
        <v>54</v>
      </c>
      <c r="B26" s="4">
        <v>52.33</v>
      </c>
      <c r="C26" s="2">
        <v>422</v>
      </c>
      <c r="D26" s="2">
        <v>250</v>
      </c>
      <c r="E26" s="2"/>
      <c r="F26" s="2">
        <v>-1394</v>
      </c>
      <c r="G26" s="2">
        <v>-148</v>
      </c>
      <c r="H26" s="2"/>
      <c r="I26" s="2"/>
      <c r="J26" s="2">
        <v>700</v>
      </c>
      <c r="K26" s="2">
        <f>3905+45</f>
        <v>3950</v>
      </c>
      <c r="L26" s="2">
        <v>1980</v>
      </c>
      <c r="M26" s="2">
        <f t="shared" si="1"/>
        <v>3960</v>
      </c>
      <c r="N26">
        <v>2500</v>
      </c>
      <c r="O26" s="2">
        <v>2500</v>
      </c>
      <c r="P26" s="2">
        <v>2500</v>
      </c>
      <c r="Q26" s="2">
        <v>2500</v>
      </c>
      <c r="R26" s="64"/>
      <c r="S26" t="s">
        <v>484</v>
      </c>
    </row>
    <row r="27" spans="1:19" ht="12.75">
      <c r="A27" t="s">
        <v>530</v>
      </c>
      <c r="B27" s="4">
        <v>52.3406</v>
      </c>
      <c r="C27" s="2">
        <v>9236</v>
      </c>
      <c r="D27" s="2">
        <v>10603</v>
      </c>
      <c r="E27" s="2">
        <v>12611</v>
      </c>
      <c r="F27" s="2">
        <v>6871</v>
      </c>
      <c r="G27" s="2">
        <v>7388</v>
      </c>
      <c r="H27" s="2"/>
      <c r="I27" s="2">
        <v>4222</v>
      </c>
      <c r="J27" s="2">
        <v>8264</v>
      </c>
      <c r="K27" s="2">
        <v>7984</v>
      </c>
      <c r="L27" s="2">
        <v>3966</v>
      </c>
      <c r="M27" s="2">
        <f t="shared" si="1"/>
        <v>7932</v>
      </c>
      <c r="N27" s="2">
        <v>6400</v>
      </c>
      <c r="O27" s="2">
        <v>8000</v>
      </c>
      <c r="P27" s="2">
        <v>8000</v>
      </c>
      <c r="Q27" s="2">
        <v>8000</v>
      </c>
      <c r="R27" s="64">
        <f>(Q27-N27)/N27</f>
        <v>0.25</v>
      </c>
      <c r="S27" t="s">
        <v>410</v>
      </c>
    </row>
    <row r="28" spans="1:18" ht="12.75">
      <c r="A28" t="s">
        <v>45</v>
      </c>
      <c r="B28" s="4">
        <v>52.35</v>
      </c>
      <c r="C28" s="2">
        <v>1760</v>
      </c>
      <c r="D28" s="2">
        <v>1478</v>
      </c>
      <c r="E28" s="2">
        <v>1012</v>
      </c>
      <c r="F28" s="2">
        <v>757</v>
      </c>
      <c r="G28" s="2">
        <v>248</v>
      </c>
      <c r="H28" s="2"/>
      <c r="I28" s="2">
        <v>1072</v>
      </c>
      <c r="J28" s="2">
        <v>54</v>
      </c>
      <c r="K28" s="2">
        <v>92</v>
      </c>
      <c r="L28" s="2"/>
      <c r="M28" s="2">
        <v>300</v>
      </c>
      <c r="N28" s="2">
        <v>300</v>
      </c>
      <c r="O28" s="2">
        <v>100</v>
      </c>
      <c r="P28" s="2">
        <v>100</v>
      </c>
      <c r="Q28" s="2">
        <v>100</v>
      </c>
      <c r="R28" s="64">
        <f>(Q28-N28)/N28</f>
        <v>-0.6666666666666666</v>
      </c>
    </row>
    <row r="29" spans="1:18" ht="12.75">
      <c r="A29" t="s">
        <v>35</v>
      </c>
      <c r="B29" s="4">
        <v>52.3602</v>
      </c>
      <c r="C29" s="2">
        <v>250</v>
      </c>
      <c r="D29" s="2">
        <v>250</v>
      </c>
      <c r="E29" s="2">
        <v>250</v>
      </c>
      <c r="F29" s="2">
        <v>300</v>
      </c>
      <c r="G29" s="2">
        <v>100</v>
      </c>
      <c r="H29" s="2">
        <v>200</v>
      </c>
      <c r="I29" s="2">
        <v>300</v>
      </c>
      <c r="J29" s="2">
        <v>300</v>
      </c>
      <c r="K29" s="2">
        <v>200</v>
      </c>
      <c r="L29" s="2">
        <v>200</v>
      </c>
      <c r="M29" s="2">
        <f t="shared" si="1"/>
        <v>400</v>
      </c>
      <c r="N29" s="2">
        <v>200</v>
      </c>
      <c r="O29" s="2">
        <v>300</v>
      </c>
      <c r="P29" s="2">
        <v>200</v>
      </c>
      <c r="Q29" s="2">
        <v>200</v>
      </c>
      <c r="R29" s="64">
        <f>(Q29-N29)/N29</f>
        <v>0</v>
      </c>
    </row>
    <row r="30" spans="1:18" ht="12.75">
      <c r="A30" t="s">
        <v>46</v>
      </c>
      <c r="B30" s="4">
        <v>52.37</v>
      </c>
      <c r="C30" s="2"/>
      <c r="D30" s="2"/>
      <c r="E30" s="2">
        <v>945</v>
      </c>
      <c r="F30" s="2">
        <v>670</v>
      </c>
      <c r="G30" s="2">
        <v>775</v>
      </c>
      <c r="H30" s="2">
        <v>460</v>
      </c>
      <c r="I30" s="2"/>
      <c r="J30" s="2"/>
      <c r="K30" s="2">
        <v>525</v>
      </c>
      <c r="L30" s="2">
        <v>0</v>
      </c>
      <c r="M30" s="2">
        <v>300</v>
      </c>
      <c r="N30" s="2">
        <v>300</v>
      </c>
      <c r="O30" s="2">
        <v>700</v>
      </c>
      <c r="P30" s="2">
        <v>300</v>
      </c>
      <c r="Q30" s="2">
        <v>300</v>
      </c>
      <c r="R30" s="64"/>
    </row>
    <row r="31" spans="1:18" ht="12.75">
      <c r="A31" t="s">
        <v>40</v>
      </c>
      <c r="B31" s="4">
        <v>53.171</v>
      </c>
      <c r="C31" s="2">
        <v>3340</v>
      </c>
      <c r="D31" s="2">
        <v>3361</v>
      </c>
      <c r="E31" s="2">
        <v>1868</v>
      </c>
      <c r="F31" s="2">
        <v>2029</v>
      </c>
      <c r="G31" s="2">
        <v>3253</v>
      </c>
      <c r="H31" s="2">
        <v>2442</v>
      </c>
      <c r="I31" s="2">
        <v>4386</v>
      </c>
      <c r="J31" s="2">
        <v>3235</v>
      </c>
      <c r="K31" s="2">
        <v>3592</v>
      </c>
      <c r="L31" s="2">
        <v>1118</v>
      </c>
      <c r="M31" s="2">
        <f t="shared" si="1"/>
        <v>2236</v>
      </c>
      <c r="N31" s="2">
        <v>2800</v>
      </c>
      <c r="O31" s="2">
        <v>2800</v>
      </c>
      <c r="P31" s="2">
        <v>2400</v>
      </c>
      <c r="Q31" s="2">
        <v>2400</v>
      </c>
      <c r="R31" s="64">
        <f>(Q31-N31)/N31</f>
        <v>-0.14285714285714285</v>
      </c>
    </row>
    <row r="32" spans="1:18" ht="12.75">
      <c r="A32" t="s">
        <v>169</v>
      </c>
      <c r="B32" s="4">
        <v>53.175</v>
      </c>
      <c r="C32" s="2"/>
      <c r="D32" s="2"/>
      <c r="E32" s="2"/>
      <c r="F32" s="2"/>
      <c r="G32" s="2"/>
      <c r="H32" s="2"/>
      <c r="I32" s="2"/>
      <c r="J32" s="2"/>
      <c r="K32" s="2">
        <v>99</v>
      </c>
      <c r="L32" s="2"/>
      <c r="M32" s="2"/>
      <c r="N32" s="2"/>
      <c r="O32" s="2"/>
      <c r="P32" s="2"/>
      <c r="Q32" s="2"/>
      <c r="R32" s="64"/>
    </row>
    <row r="33" spans="2:18" ht="12.75"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4"/>
    </row>
    <row r="34" spans="1:19" ht="12.75">
      <c r="A34" t="s">
        <v>288</v>
      </c>
      <c r="B34" s="4">
        <v>54.24</v>
      </c>
      <c r="C34" s="2"/>
      <c r="D34" s="2"/>
      <c r="E34" s="2"/>
      <c r="F34" s="2">
        <v>690</v>
      </c>
      <c r="G34" s="2">
        <v>750</v>
      </c>
      <c r="H34" s="2">
        <v>1275</v>
      </c>
      <c r="I34" s="2">
        <v>3539</v>
      </c>
      <c r="J34" s="2"/>
      <c r="K34" s="2">
        <v>27429</v>
      </c>
      <c r="L34" s="2">
        <v>292</v>
      </c>
      <c r="M34" s="2">
        <v>300</v>
      </c>
      <c r="N34" s="2">
        <v>0</v>
      </c>
      <c r="O34" s="2"/>
      <c r="P34" s="2"/>
      <c r="Q34" s="2"/>
      <c r="R34" s="64"/>
      <c r="S34" s="31"/>
    </row>
    <row r="35" spans="1:18" ht="12.75" hidden="1">
      <c r="A35" t="s">
        <v>55</v>
      </c>
      <c r="B35" s="4">
        <v>54.23</v>
      </c>
      <c r="C35" s="5"/>
      <c r="D35" s="2">
        <v>3080</v>
      </c>
      <c r="E35" s="5">
        <v>2445</v>
      </c>
      <c r="F35" s="5"/>
      <c r="G35" s="5"/>
      <c r="H35" s="5"/>
      <c r="I35" s="5"/>
      <c r="J35" s="5"/>
      <c r="K35" s="5"/>
      <c r="L35" s="5"/>
      <c r="M35" s="2">
        <f>+L35/$L$3*12</f>
        <v>0</v>
      </c>
      <c r="O35" s="2"/>
      <c r="R35" s="64"/>
    </row>
    <row r="36" spans="1:18" ht="12.75">
      <c r="A36" t="s">
        <v>469</v>
      </c>
      <c r="D36" s="2"/>
      <c r="J36">
        <v>19945</v>
      </c>
      <c r="K36" s="2">
        <v>4235</v>
      </c>
      <c r="L36" s="2">
        <v>1400</v>
      </c>
      <c r="M36" s="2">
        <f>+L36/$L$3*12</f>
        <v>2800</v>
      </c>
      <c r="N36">
        <v>7000</v>
      </c>
      <c r="O36" s="18">
        <v>2000</v>
      </c>
      <c r="P36" s="2">
        <v>2000</v>
      </c>
      <c r="Q36" s="2">
        <v>2000</v>
      </c>
      <c r="R36" s="64"/>
    </row>
    <row r="37" spans="1:19" ht="12.75">
      <c r="A37" t="s">
        <v>209</v>
      </c>
      <c r="B37" s="4">
        <v>54.25</v>
      </c>
      <c r="C37" s="5"/>
      <c r="D37" s="2">
        <v>4420</v>
      </c>
      <c r="E37" s="5"/>
      <c r="F37" s="5"/>
      <c r="G37" s="5"/>
      <c r="H37" s="2">
        <v>1532</v>
      </c>
      <c r="I37" s="5"/>
      <c r="J37" s="5"/>
      <c r="K37" s="5"/>
      <c r="L37" s="5"/>
      <c r="M37" s="2">
        <f>+L37/$L$3*12</f>
        <v>0</v>
      </c>
      <c r="N37" s="2"/>
      <c r="O37" s="2"/>
      <c r="P37" s="2"/>
      <c r="Q37" s="2"/>
      <c r="R37" s="64"/>
      <c r="S37" s="31"/>
    </row>
    <row r="38" spans="2:19" ht="12.75">
      <c r="B38" s="4"/>
      <c r="C38" s="5"/>
      <c r="D38" s="2"/>
      <c r="E38" s="5"/>
      <c r="F38" s="5"/>
      <c r="G38" s="5"/>
      <c r="H38" s="2"/>
      <c r="I38" s="5"/>
      <c r="J38" s="5"/>
      <c r="K38" s="5"/>
      <c r="L38" s="5"/>
      <c r="M38" s="2"/>
      <c r="N38" s="2"/>
      <c r="O38" s="2"/>
      <c r="P38" s="2"/>
      <c r="Q38" s="2"/>
      <c r="R38" s="64"/>
      <c r="S38" s="31"/>
    </row>
    <row r="39" spans="2:18" ht="12.75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f>+L39/$L$3*12</f>
        <v>0</v>
      </c>
      <c r="N39" s="2"/>
      <c r="O39" s="2"/>
      <c r="P39" s="2"/>
      <c r="Q39" s="2"/>
      <c r="R39" s="65">
        <f>IF(Q39="","",+Q39-$N39)</f>
      </c>
    </row>
    <row r="40" spans="1:18" ht="12.75">
      <c r="A40" s="6" t="s">
        <v>23</v>
      </c>
      <c r="B40" s="6"/>
      <c r="C40" s="7">
        <f aca="true" t="shared" si="2" ref="C40:M40">SUM(C7:C39)</f>
        <v>149863</v>
      </c>
      <c r="D40" s="8">
        <f t="shared" si="2"/>
        <v>185873</v>
      </c>
      <c r="E40" s="8">
        <f t="shared" si="2"/>
        <v>193528</v>
      </c>
      <c r="F40" s="8">
        <f t="shared" si="2"/>
        <v>210804</v>
      </c>
      <c r="G40" s="8">
        <f t="shared" si="2"/>
        <v>219949</v>
      </c>
      <c r="H40" s="8">
        <f t="shared" si="2"/>
        <v>224174</v>
      </c>
      <c r="I40" s="8">
        <f t="shared" si="2"/>
        <v>210499</v>
      </c>
      <c r="J40" s="8">
        <v>234447</v>
      </c>
      <c r="K40" s="8">
        <f t="shared" si="2"/>
        <v>256927</v>
      </c>
      <c r="L40" s="8">
        <f t="shared" si="2"/>
        <v>113670</v>
      </c>
      <c r="M40" s="8">
        <f t="shared" si="2"/>
        <v>225280.812</v>
      </c>
      <c r="N40" s="8">
        <f>SUM(N7:N39)</f>
        <v>239013.6549015</v>
      </c>
      <c r="O40" s="8">
        <f>SUM(O7:O39)</f>
        <v>253442.884</v>
      </c>
      <c r="P40" s="8">
        <f>SUM(P7:P39)</f>
        <v>248543.389955</v>
      </c>
      <c r="Q40" s="8">
        <f>SUM(Q7:Q39)</f>
        <v>248543.389955</v>
      </c>
      <c r="R40" s="66">
        <f>(Q40-N40)/N40</f>
        <v>0.039871090450574</v>
      </c>
    </row>
    <row r="42" spans="14:16" ht="12.75">
      <c r="N42" s="21" t="s">
        <v>357</v>
      </c>
      <c r="O42" s="21"/>
      <c r="P42" s="53">
        <f>O40-P40</f>
        <v>4899.4940449999995</v>
      </c>
    </row>
    <row r="43" spans="14:16" ht="12.75">
      <c r="N43" s="21" t="s">
        <v>545</v>
      </c>
      <c r="O43" s="21"/>
      <c r="P43" s="53">
        <f>N40-P40</f>
        <v>-9529.735053499986</v>
      </c>
    </row>
    <row r="44" spans="14:16" ht="12.75">
      <c r="N44" s="21" t="s">
        <v>307</v>
      </c>
      <c r="O44" s="21"/>
      <c r="P44" s="53">
        <f>P40-Q40</f>
        <v>0</v>
      </c>
    </row>
    <row r="45" ht="12.75">
      <c r="A45" t="s">
        <v>632</v>
      </c>
    </row>
    <row r="48" spans="1:11" ht="12.75">
      <c r="A48" s="43" t="s">
        <v>468</v>
      </c>
      <c r="B48" s="40">
        <v>31.1391</v>
      </c>
      <c r="C48" s="41"/>
      <c r="D48" s="41">
        <v>2500</v>
      </c>
      <c r="E48" s="21" t="s">
        <v>390</v>
      </c>
      <c r="F48" s="21" t="s">
        <v>448</v>
      </c>
      <c r="G48" s="21"/>
      <c r="H48" s="21"/>
      <c r="I48" s="41">
        <f>2700+100</f>
        <v>2800</v>
      </c>
      <c r="J48" s="41">
        <v>3935</v>
      </c>
      <c r="K48" s="41">
        <v>4255</v>
      </c>
    </row>
    <row r="50" ht="12.75">
      <c r="A50" t="s">
        <v>769</v>
      </c>
    </row>
    <row r="77" spans="3:18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18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18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18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</sheetData>
  <printOptions gridLines="1"/>
  <pageMargins left="0.25" right="0.25" top="1" bottom="0.55" header="0.5" footer="0.25"/>
  <pageSetup fitToHeight="1" fitToWidth="1" horizontalDpi="300" verticalDpi="300" orientation="landscape" scale="79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94"/>
  <sheetViews>
    <sheetView zoomScale="75" zoomScaleNormal="75" workbookViewId="0" topLeftCell="A3">
      <pane ySplit="960" topLeftCell="BM1" activePane="bottomLeft" state="split"/>
      <selection pane="topLeft" activeCell="O160" sqref="O160"/>
      <selection pane="bottomLeft"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140625" style="0" hidden="1" customWidth="1"/>
    <col min="4" max="8" width="9.140625" style="0" hidden="1" customWidth="1"/>
    <col min="14" max="16" width="11.7109375" style="0" customWidth="1"/>
    <col min="17" max="17" width="12.140625" style="0" bestFit="1" customWidth="1"/>
    <col min="18" max="18" width="10.28125" style="0" bestFit="1" customWidth="1"/>
    <col min="19" max="19" width="11.7109375" style="0" customWidth="1"/>
  </cols>
  <sheetData>
    <row r="1" spans="1:12" ht="12.75">
      <c r="A1" t="s">
        <v>13</v>
      </c>
      <c r="L1" s="6"/>
    </row>
    <row r="2" ht="12.75">
      <c r="A2" t="s">
        <v>14</v>
      </c>
    </row>
    <row r="3" spans="1:18" ht="12.75">
      <c r="A3" s="6" t="s">
        <v>313</v>
      </c>
      <c r="L3" s="54">
        <v>6</v>
      </c>
      <c r="R3" s="1" t="s">
        <v>309</v>
      </c>
    </row>
    <row r="4" spans="2:18" ht="12.75">
      <c r="B4" s="14"/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 t="s">
        <v>17</v>
      </c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9" t="s">
        <v>343</v>
      </c>
      <c r="N5" s="1" t="s">
        <v>16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3" t="s">
        <v>22</v>
      </c>
    </row>
    <row r="7" spans="1:19" ht="12.75">
      <c r="A7" s="21" t="s">
        <v>491</v>
      </c>
      <c r="B7" s="4">
        <v>51.11</v>
      </c>
      <c r="C7" s="2">
        <v>90245</v>
      </c>
      <c r="D7" s="2">
        <v>121662</v>
      </c>
      <c r="E7" s="2">
        <v>108199</v>
      </c>
      <c r="F7" s="2">
        <v>142061</v>
      </c>
      <c r="G7" s="2">
        <v>151423</v>
      </c>
      <c r="H7" s="2">
        <v>101279</v>
      </c>
      <c r="I7" s="2">
        <v>110923</v>
      </c>
      <c r="J7" s="2">
        <v>130729</v>
      </c>
      <c r="K7" s="2">
        <v>151350</v>
      </c>
      <c r="L7" s="2">
        <v>89276</v>
      </c>
      <c r="M7" s="2">
        <f>+L7/$L$3*12</f>
        <v>178552</v>
      </c>
      <c r="N7" s="2">
        <v>223277</v>
      </c>
      <c r="O7" s="2">
        <v>283000</v>
      </c>
      <c r="P7" s="2">
        <v>229494.425</v>
      </c>
      <c r="Q7" s="2">
        <v>204635.305</v>
      </c>
      <c r="R7" s="64">
        <f>(Q7-N7)/N7</f>
        <v>-0.08349133587427279</v>
      </c>
      <c r="S7" s="31" t="s">
        <v>746</v>
      </c>
    </row>
    <row r="8" spans="1:19" ht="12.75">
      <c r="A8" t="s">
        <v>314</v>
      </c>
      <c r="B8" s="4">
        <v>51.12</v>
      </c>
      <c r="C8" s="2"/>
      <c r="D8" s="2"/>
      <c r="E8" s="2"/>
      <c r="F8" s="2"/>
      <c r="G8" s="2"/>
      <c r="H8" s="2">
        <v>4136</v>
      </c>
      <c r="I8" s="2">
        <v>27700</v>
      </c>
      <c r="J8" s="2">
        <v>3577</v>
      </c>
      <c r="K8" s="2">
        <v>9957</v>
      </c>
      <c r="L8" s="2">
        <v>15286</v>
      </c>
      <c r="M8" s="2">
        <v>50000</v>
      </c>
      <c r="N8" s="2">
        <v>50000</v>
      </c>
      <c r="O8" s="2">
        <v>50000</v>
      </c>
      <c r="P8" s="2">
        <v>0</v>
      </c>
      <c r="Q8" s="2">
        <v>50000</v>
      </c>
      <c r="R8" s="64"/>
      <c r="S8" s="6"/>
    </row>
    <row r="9" spans="1:19" ht="12.75">
      <c r="A9" t="s">
        <v>361</v>
      </c>
      <c r="B9" s="4">
        <v>51.1205</v>
      </c>
      <c r="C9" s="2"/>
      <c r="D9" s="2"/>
      <c r="E9" s="2"/>
      <c r="F9" s="2"/>
      <c r="G9" s="2"/>
      <c r="H9" s="2">
        <v>5250</v>
      </c>
      <c r="I9" s="2">
        <v>10675</v>
      </c>
      <c r="J9" s="2">
        <v>12550</v>
      </c>
      <c r="K9" s="2">
        <v>7675</v>
      </c>
      <c r="L9" s="2">
        <v>1375</v>
      </c>
      <c r="M9" s="2">
        <f>+L9/$L$3*12</f>
        <v>2750</v>
      </c>
      <c r="N9" s="2">
        <v>10000</v>
      </c>
      <c r="O9" s="2">
        <v>10000</v>
      </c>
      <c r="P9" s="2">
        <v>7000</v>
      </c>
      <c r="Q9" s="2">
        <v>7000</v>
      </c>
      <c r="R9" s="64"/>
      <c r="S9" s="31"/>
    </row>
    <row r="10" spans="1:19" ht="12.75">
      <c r="A10" t="s">
        <v>43</v>
      </c>
      <c r="B10" s="4">
        <v>51.13</v>
      </c>
      <c r="C10" s="2"/>
      <c r="D10" s="2"/>
      <c r="E10" s="2"/>
      <c r="F10" s="2"/>
      <c r="G10" s="2"/>
      <c r="H10" s="2"/>
      <c r="I10" s="2"/>
      <c r="J10" s="2">
        <v>1909</v>
      </c>
      <c r="K10" s="2"/>
      <c r="L10" s="2"/>
      <c r="M10" s="2"/>
      <c r="N10" s="2"/>
      <c r="O10" s="2"/>
      <c r="P10" s="2"/>
      <c r="Q10" s="2"/>
      <c r="R10" s="64"/>
      <c r="S10" s="31"/>
    </row>
    <row r="11" spans="1:20" ht="12.75">
      <c r="A11" t="s">
        <v>360</v>
      </c>
      <c r="B11" s="4">
        <v>51.21</v>
      </c>
      <c r="C11" s="2">
        <v>5657</v>
      </c>
      <c r="D11" s="2">
        <v>9443</v>
      </c>
      <c r="E11" s="2">
        <v>12746</v>
      </c>
      <c r="F11" s="2">
        <v>10123</v>
      </c>
      <c r="G11" s="2">
        <v>12051</v>
      </c>
      <c r="H11" s="2">
        <v>10024</v>
      </c>
      <c r="I11" s="2">
        <v>9979</v>
      </c>
      <c r="J11" s="2">
        <v>12751</v>
      </c>
      <c r="K11" s="2">
        <v>16749</v>
      </c>
      <c r="L11" s="2">
        <v>8553</v>
      </c>
      <c r="M11" s="2">
        <f>+L11/$L$3*12</f>
        <v>17106</v>
      </c>
      <c r="N11" s="29">
        <v>38264</v>
      </c>
      <c r="O11" s="29">
        <f>10*4800</f>
        <v>48000</v>
      </c>
      <c r="P11" s="29">
        <f>8*4800</f>
        <v>38400</v>
      </c>
      <c r="Q11" s="29">
        <f>7*4800</f>
        <v>33600</v>
      </c>
      <c r="R11" s="64">
        <f>(Q11-N11)/N11</f>
        <v>-0.12189002717959439</v>
      </c>
      <c r="S11" s="31" t="s">
        <v>747</v>
      </c>
      <c r="T11" s="2"/>
    </row>
    <row r="12" spans="1:19" ht="12.75">
      <c r="A12" t="s">
        <v>30</v>
      </c>
      <c r="B12" s="4">
        <v>51.22</v>
      </c>
      <c r="C12" s="2">
        <v>6943</v>
      </c>
      <c r="D12" s="2">
        <v>9290</v>
      </c>
      <c r="E12" s="2">
        <v>8266</v>
      </c>
      <c r="F12" s="2">
        <v>10901</v>
      </c>
      <c r="G12" s="2">
        <v>11572</v>
      </c>
      <c r="H12" s="2">
        <v>8408</v>
      </c>
      <c r="I12" s="2">
        <v>11364</v>
      </c>
      <c r="J12" s="2">
        <v>11290</v>
      </c>
      <c r="K12" s="2">
        <v>12852</v>
      </c>
      <c r="L12" s="2">
        <v>8044</v>
      </c>
      <c r="M12" s="2">
        <f>(M7+M8+M9+M10)*0.0765</f>
        <v>17694.603</v>
      </c>
      <c r="N12" s="2">
        <v>21670.6905</v>
      </c>
      <c r="O12" s="2">
        <f>(O7+O8+O9+O10)*0.0765</f>
        <v>26239.5</v>
      </c>
      <c r="P12" s="2">
        <f>(P7+P8+P9+P10)*0.0765</f>
        <v>18091.8235125</v>
      </c>
      <c r="Q12" s="2">
        <f>(Q7+Q8+Q9+Q10)*0.0765</f>
        <v>20015.1008325</v>
      </c>
      <c r="R12" s="64">
        <f>(Q12-N12)/N12</f>
        <v>-0.07639764259011499</v>
      </c>
      <c r="S12" s="31" t="s">
        <v>742</v>
      </c>
    </row>
    <row r="13" spans="1:19" ht="12.75">
      <c r="A13" t="s">
        <v>44</v>
      </c>
      <c r="B13" s="4">
        <v>51.24</v>
      </c>
      <c r="C13" s="2">
        <v>1439</v>
      </c>
      <c r="D13" s="2">
        <v>1639</v>
      </c>
      <c r="E13" s="2">
        <v>1781</v>
      </c>
      <c r="F13" s="2">
        <v>1267</v>
      </c>
      <c r="G13" s="2">
        <v>1629</v>
      </c>
      <c r="H13" s="2">
        <v>1778</v>
      </c>
      <c r="I13" s="2">
        <v>1382</v>
      </c>
      <c r="J13" s="2">
        <v>301</v>
      </c>
      <c r="K13" s="2">
        <v>785</v>
      </c>
      <c r="L13" s="2">
        <v>422</v>
      </c>
      <c r="M13" s="2">
        <f>+L13/$L$3*12</f>
        <v>844</v>
      </c>
      <c r="N13" s="20">
        <v>1000</v>
      </c>
      <c r="O13" s="2">
        <v>3500</v>
      </c>
      <c r="P13" s="20">
        <v>2500</v>
      </c>
      <c r="Q13" s="20">
        <v>2500</v>
      </c>
      <c r="R13" s="64">
        <f>(Q13-N13)/N13</f>
        <v>1.5</v>
      </c>
      <c r="S13" s="31"/>
    </row>
    <row r="14" spans="1:20" ht="12.75">
      <c r="A14" t="s">
        <v>529</v>
      </c>
      <c r="B14" s="4"/>
      <c r="C14" s="2"/>
      <c r="D14" s="2"/>
      <c r="E14" s="2"/>
      <c r="F14" s="2"/>
      <c r="G14" s="2"/>
      <c r="H14" s="2"/>
      <c r="I14" s="2"/>
      <c r="J14" s="2"/>
      <c r="K14" s="2">
        <v>1477</v>
      </c>
      <c r="L14" s="2"/>
      <c r="M14" s="2">
        <f>+L14/$L$3*12</f>
        <v>0</v>
      </c>
      <c r="N14" s="20"/>
      <c r="O14" s="2"/>
      <c r="P14" s="20"/>
      <c r="Q14" s="20"/>
      <c r="R14" s="64"/>
      <c r="T14" s="2"/>
    </row>
    <row r="15" spans="2:20" ht="12.75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64"/>
      <c r="T15" s="2"/>
    </row>
    <row r="16" spans="1:18" ht="12.75">
      <c r="A16" t="s">
        <v>48</v>
      </c>
      <c r="B16" s="4">
        <v>52.12</v>
      </c>
      <c r="C16" s="2">
        <v>14964</v>
      </c>
      <c r="D16" s="2">
        <v>17525</v>
      </c>
      <c r="E16" s="2"/>
      <c r="F16" s="2">
        <v>5000</v>
      </c>
      <c r="G16" s="2">
        <v>12128</v>
      </c>
      <c r="H16" s="2"/>
      <c r="I16" s="2">
        <v>2400</v>
      </c>
      <c r="J16" s="2"/>
      <c r="K16" s="2"/>
      <c r="L16" s="2">
        <v>48</v>
      </c>
      <c r="M16" s="2"/>
      <c r="N16" s="2"/>
      <c r="O16" s="2"/>
      <c r="P16" s="2"/>
      <c r="Q16" s="2"/>
      <c r="R16" s="64"/>
    </row>
    <row r="17" spans="1:18" ht="12.75">
      <c r="A17" t="s">
        <v>387</v>
      </c>
      <c r="B17" s="4">
        <v>52.121</v>
      </c>
      <c r="C17" s="2"/>
      <c r="D17" s="2"/>
      <c r="E17" s="2"/>
      <c r="F17" s="2"/>
      <c r="G17" s="2"/>
      <c r="H17" s="2">
        <v>4070</v>
      </c>
      <c r="I17" s="2">
        <f>6924+181</f>
        <v>7105</v>
      </c>
      <c r="J17" s="2">
        <v>13709</v>
      </c>
      <c r="K17" s="2">
        <v>4998</v>
      </c>
      <c r="L17" s="2"/>
      <c r="M17" s="2">
        <f>+L17/$L$3*12</f>
        <v>0</v>
      </c>
      <c r="N17" s="2">
        <v>1000</v>
      </c>
      <c r="O17" s="2">
        <v>1000</v>
      </c>
      <c r="P17" s="2">
        <v>1000</v>
      </c>
      <c r="Q17" s="2">
        <v>1000</v>
      </c>
      <c r="R17" s="64"/>
    </row>
    <row r="18" spans="1:18" ht="12.75">
      <c r="A18" t="s">
        <v>403</v>
      </c>
      <c r="B18" s="4">
        <v>52.1211</v>
      </c>
      <c r="C18" s="2"/>
      <c r="D18" s="2"/>
      <c r="E18" s="2"/>
      <c r="F18" s="2"/>
      <c r="G18" s="2"/>
      <c r="H18" s="2">
        <v>23801</v>
      </c>
      <c r="I18" s="2">
        <f>16287+1520</f>
        <v>17807</v>
      </c>
      <c r="J18" s="2">
        <v>23412</v>
      </c>
      <c r="K18" s="2">
        <v>17558</v>
      </c>
      <c r="L18" s="2">
        <v>6219</v>
      </c>
      <c r="M18" s="2">
        <f>+L18/$L$3*12</f>
        <v>12438</v>
      </c>
      <c r="N18" s="2">
        <v>8000</v>
      </c>
      <c r="O18" s="2">
        <v>8000</v>
      </c>
      <c r="P18" s="2">
        <v>8000</v>
      </c>
      <c r="Q18" s="2">
        <v>8000</v>
      </c>
      <c r="R18" s="64"/>
    </row>
    <row r="19" spans="1:18" ht="12.75" hidden="1">
      <c r="A19" t="s">
        <v>75</v>
      </c>
      <c r="B19" s="4">
        <v>52.1213</v>
      </c>
      <c r="C19" s="2"/>
      <c r="D19" s="2"/>
      <c r="E19" s="2">
        <v>44955</v>
      </c>
      <c r="F19" s="2">
        <v>26399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4"/>
    </row>
    <row r="20" spans="1:18" ht="12.75" hidden="1">
      <c r="A20" t="s">
        <v>423</v>
      </c>
      <c r="B20" s="4">
        <v>52.1215</v>
      </c>
      <c r="C20" s="2"/>
      <c r="D20" s="2"/>
      <c r="E20" s="2"/>
      <c r="F20" s="2"/>
      <c r="G20" s="2"/>
      <c r="H20" s="2">
        <v>596</v>
      </c>
      <c r="I20" s="2"/>
      <c r="J20" s="2"/>
      <c r="K20" s="2"/>
      <c r="L20" s="2"/>
      <c r="M20" s="2">
        <f>+L20/$L$3*12</f>
        <v>0</v>
      </c>
      <c r="N20" s="2"/>
      <c r="O20" s="2"/>
      <c r="P20" s="2"/>
      <c r="Q20" s="2"/>
      <c r="R20" s="64"/>
    </row>
    <row r="21" spans="1:18" ht="12.75">
      <c r="A21" t="s">
        <v>593</v>
      </c>
      <c r="B21" s="4">
        <v>52.123</v>
      </c>
      <c r="C21" s="2"/>
      <c r="D21" s="2"/>
      <c r="E21" s="2"/>
      <c r="F21" s="2"/>
      <c r="G21" s="2"/>
      <c r="H21" s="2"/>
      <c r="I21" s="2"/>
      <c r="J21" s="2"/>
      <c r="K21" s="2">
        <v>4125</v>
      </c>
      <c r="L21" s="2"/>
      <c r="M21" s="2"/>
      <c r="N21" s="2"/>
      <c r="O21" s="2"/>
      <c r="P21" s="2"/>
      <c r="Q21" s="2"/>
      <c r="R21" s="64"/>
    </row>
    <row r="22" spans="1:18" ht="12.75">
      <c r="A22" s="31" t="s">
        <v>424</v>
      </c>
      <c r="B22" s="4">
        <v>52.13</v>
      </c>
      <c r="C22" s="2"/>
      <c r="D22" s="2"/>
      <c r="E22" s="2"/>
      <c r="F22" s="2">
        <v>14307</v>
      </c>
      <c r="G22" s="2">
        <v>5000</v>
      </c>
      <c r="H22" s="2">
        <v>4500</v>
      </c>
      <c r="I22" s="2">
        <v>5000</v>
      </c>
      <c r="J22" s="2">
        <v>3230</v>
      </c>
      <c r="K22" s="2">
        <v>767</v>
      </c>
      <c r="L22" s="2">
        <v>528</v>
      </c>
      <c r="M22" s="2">
        <f>+L22/$L$3*12</f>
        <v>1056</v>
      </c>
      <c r="N22" s="2"/>
      <c r="O22" s="2">
        <v>1500</v>
      </c>
      <c r="P22" s="2"/>
      <c r="Q22" s="2"/>
      <c r="R22" s="64" t="e">
        <f>(Q22-N22)/N22</f>
        <v>#DIV/0!</v>
      </c>
    </row>
    <row r="23" spans="1:19" ht="12.75">
      <c r="A23" t="s">
        <v>581</v>
      </c>
      <c r="B23" s="4">
        <v>52.1301</v>
      </c>
      <c r="C23" s="2">
        <v>16007</v>
      </c>
      <c r="D23" s="2">
        <v>15821</v>
      </c>
      <c r="E23" s="2">
        <v>17624</v>
      </c>
      <c r="F23" s="2">
        <v>15198</v>
      </c>
      <c r="G23" s="2">
        <v>15682</v>
      </c>
      <c r="H23" s="2">
        <v>10692</v>
      </c>
      <c r="I23" s="2">
        <v>15692</v>
      </c>
      <c r="J23" s="2">
        <v>3318</v>
      </c>
      <c r="K23" s="2">
        <v>1000</v>
      </c>
      <c r="L23" s="2">
        <v>0</v>
      </c>
      <c r="M23" s="2">
        <v>1000</v>
      </c>
      <c r="N23" s="2">
        <v>1000</v>
      </c>
      <c r="O23" s="2">
        <v>1000</v>
      </c>
      <c r="P23" s="2">
        <v>1000</v>
      </c>
      <c r="Q23" s="2">
        <v>1000</v>
      </c>
      <c r="R23" s="64">
        <f>(Q23-N23)/N23</f>
        <v>0</v>
      </c>
      <c r="S23" t="s">
        <v>375</v>
      </c>
    </row>
    <row r="24" spans="1:18" ht="12.75">
      <c r="A24" t="s">
        <v>425</v>
      </c>
      <c r="B24" s="4">
        <v>52.1316</v>
      </c>
      <c r="C24" s="2"/>
      <c r="D24" s="2"/>
      <c r="E24" s="2">
        <v>638</v>
      </c>
      <c r="F24" s="2">
        <v>884</v>
      </c>
      <c r="G24" s="2"/>
      <c r="H24" s="2">
        <v>800</v>
      </c>
      <c r="I24" s="2">
        <f>1308+96</f>
        <v>1404</v>
      </c>
      <c r="J24" s="2">
        <v>620</v>
      </c>
      <c r="K24" s="2"/>
      <c r="L24" s="2">
        <v>429</v>
      </c>
      <c r="M24" s="2">
        <v>800</v>
      </c>
      <c r="N24" s="2">
        <v>800</v>
      </c>
      <c r="O24" s="2">
        <v>800</v>
      </c>
      <c r="P24" s="2">
        <v>800</v>
      </c>
      <c r="Q24" s="2">
        <v>800</v>
      </c>
      <c r="R24" s="64"/>
    </row>
    <row r="25" spans="1:18" ht="12.75" hidden="1">
      <c r="A25" t="s">
        <v>76</v>
      </c>
      <c r="B25" s="4">
        <v>52.2206</v>
      </c>
      <c r="C25" s="2">
        <v>195</v>
      </c>
      <c r="D25" s="2">
        <v>1195</v>
      </c>
      <c r="E25" s="2">
        <v>493</v>
      </c>
      <c r="F25" s="2">
        <v>209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4"/>
    </row>
    <row r="26" spans="1:19" s="21" customFormat="1" ht="12.75">
      <c r="A26" s="21" t="s">
        <v>637</v>
      </c>
      <c r="B26" s="46">
        <v>52.1326</v>
      </c>
      <c r="C26" s="29"/>
      <c r="D26" s="29"/>
      <c r="E26" s="29"/>
      <c r="F26" s="29"/>
      <c r="G26" s="29"/>
      <c r="H26" s="29"/>
      <c r="I26" s="29"/>
      <c r="J26" s="29"/>
      <c r="K26" s="29">
        <v>5615</v>
      </c>
      <c r="L26" s="29">
        <v>47120</v>
      </c>
      <c r="M26" s="29"/>
      <c r="N26" s="29">
        <v>40000</v>
      </c>
      <c r="O26" s="29">
        <v>40000</v>
      </c>
      <c r="P26" s="29"/>
      <c r="Q26" s="29"/>
      <c r="R26" s="49"/>
      <c r="S26" s="29" t="s">
        <v>426</v>
      </c>
    </row>
    <row r="27" spans="1:18" ht="12.75">
      <c r="A27" t="s">
        <v>594</v>
      </c>
      <c r="B27" s="4">
        <v>52.2204</v>
      </c>
      <c r="C27" s="2"/>
      <c r="D27" s="2"/>
      <c r="E27" s="2"/>
      <c r="F27" s="2"/>
      <c r="G27" s="2"/>
      <c r="H27" s="2"/>
      <c r="I27" s="2"/>
      <c r="J27" s="2"/>
      <c r="K27" s="2">
        <f>713+244</f>
        <v>957</v>
      </c>
      <c r="L27" s="2"/>
      <c r="M27" s="2"/>
      <c r="N27" s="2"/>
      <c r="O27" s="2"/>
      <c r="P27" s="2"/>
      <c r="Q27" s="2"/>
      <c r="R27" s="64"/>
    </row>
    <row r="28" spans="1:19" ht="12.75">
      <c r="A28" t="s">
        <v>32</v>
      </c>
      <c r="B28" s="4">
        <v>52.32</v>
      </c>
      <c r="C28" s="2">
        <v>1825</v>
      </c>
      <c r="D28" s="2">
        <v>2502</v>
      </c>
      <c r="E28" s="2">
        <v>2472</v>
      </c>
      <c r="F28" s="2">
        <v>2873</v>
      </c>
      <c r="G28" s="2">
        <v>2966</v>
      </c>
      <c r="H28" s="2">
        <v>3968</v>
      </c>
      <c r="I28" s="2">
        <v>4162</v>
      </c>
      <c r="J28" s="2">
        <v>4133</v>
      </c>
      <c r="K28" s="2">
        <v>4356</v>
      </c>
      <c r="L28" s="2">
        <v>2281</v>
      </c>
      <c r="M28" s="2">
        <f aca="true" t="shared" si="0" ref="M28:M34">+L28/$L$3*12</f>
        <v>4562</v>
      </c>
      <c r="N28" s="2">
        <v>4320</v>
      </c>
      <c r="O28" s="2">
        <v>4320</v>
      </c>
      <c r="P28" s="2">
        <v>4320</v>
      </c>
      <c r="Q28" s="2">
        <v>4320</v>
      </c>
      <c r="R28" s="64">
        <f aca="true" t="shared" si="1" ref="R28:R34">(Q28-N28)/N28</f>
        <v>0</v>
      </c>
      <c r="S28" t="s">
        <v>374</v>
      </c>
    </row>
    <row r="29" spans="1:18" ht="12.75">
      <c r="A29" t="s">
        <v>33</v>
      </c>
      <c r="B29" s="4">
        <v>52.321</v>
      </c>
      <c r="C29" s="2">
        <v>6782</v>
      </c>
      <c r="D29" s="2">
        <v>3482</v>
      </c>
      <c r="E29" s="2">
        <v>4059</v>
      </c>
      <c r="F29" s="2">
        <v>10359</v>
      </c>
      <c r="G29" s="2">
        <v>3800</v>
      </c>
      <c r="H29" s="2">
        <v>4018</v>
      </c>
      <c r="I29" s="2">
        <v>7544</v>
      </c>
      <c r="J29" s="2">
        <v>2315</v>
      </c>
      <c r="K29" s="2">
        <f>3440+772</f>
        <v>4212</v>
      </c>
      <c r="L29" s="2">
        <v>5039</v>
      </c>
      <c r="M29" s="2">
        <f t="shared" si="0"/>
        <v>10078</v>
      </c>
      <c r="N29" s="2">
        <v>3000</v>
      </c>
      <c r="O29" s="2">
        <v>12000</v>
      </c>
      <c r="P29" s="2">
        <v>3000</v>
      </c>
      <c r="Q29" s="2">
        <v>5700</v>
      </c>
      <c r="R29" s="64">
        <f t="shared" si="1"/>
        <v>0.9</v>
      </c>
    </row>
    <row r="30" spans="1:18" ht="12.75">
      <c r="A30" t="s">
        <v>54</v>
      </c>
      <c r="B30" s="4">
        <v>52.33</v>
      </c>
      <c r="C30" s="2"/>
      <c r="D30" s="2">
        <v>685</v>
      </c>
      <c r="E30" s="2">
        <v>157</v>
      </c>
      <c r="F30" s="2"/>
      <c r="G30" s="2"/>
      <c r="H30" s="2">
        <v>144</v>
      </c>
      <c r="I30" s="2"/>
      <c r="J30" s="2"/>
      <c r="K30" s="2"/>
      <c r="L30" s="2"/>
      <c r="M30" s="2">
        <f t="shared" si="0"/>
        <v>0</v>
      </c>
      <c r="N30" s="2"/>
      <c r="O30" s="2"/>
      <c r="P30" s="2"/>
      <c r="Q30" s="2"/>
      <c r="R30" s="64" t="e">
        <f t="shared" si="1"/>
        <v>#DIV/0!</v>
      </c>
    </row>
    <row r="31" spans="1:18" ht="12.75">
      <c r="A31" t="s">
        <v>45</v>
      </c>
      <c r="B31" s="4">
        <v>52.35</v>
      </c>
      <c r="C31" s="2">
        <v>2769</v>
      </c>
      <c r="D31" s="2">
        <v>5458</v>
      </c>
      <c r="E31" s="2">
        <v>2466</v>
      </c>
      <c r="F31" s="2">
        <v>40</v>
      </c>
      <c r="G31" s="2"/>
      <c r="H31" s="2">
        <v>841</v>
      </c>
      <c r="I31" s="2">
        <v>1939</v>
      </c>
      <c r="J31" s="2">
        <v>2994</v>
      </c>
      <c r="K31" s="2">
        <v>2545</v>
      </c>
      <c r="L31" s="2">
        <v>4187</v>
      </c>
      <c r="M31" s="2">
        <f t="shared" si="0"/>
        <v>8374</v>
      </c>
      <c r="N31" s="2">
        <v>3000</v>
      </c>
      <c r="O31" s="2">
        <v>17280</v>
      </c>
      <c r="P31" s="2">
        <v>3000</v>
      </c>
      <c r="Q31" s="2">
        <v>8960</v>
      </c>
      <c r="R31" s="64">
        <f t="shared" si="1"/>
        <v>1.9866666666666666</v>
      </c>
    </row>
    <row r="32" spans="1:18" ht="12.75">
      <c r="A32" t="s">
        <v>77</v>
      </c>
      <c r="B32" s="4">
        <v>52.3501</v>
      </c>
      <c r="C32" s="2"/>
      <c r="D32" s="2"/>
      <c r="E32" s="2">
        <v>527</v>
      </c>
      <c r="F32" s="2">
        <v>3991</v>
      </c>
      <c r="G32" s="2">
        <v>3125</v>
      </c>
      <c r="H32" s="2">
        <v>2692</v>
      </c>
      <c r="I32" s="2">
        <v>2537</v>
      </c>
      <c r="J32" s="2"/>
      <c r="K32" s="2">
        <v>1477</v>
      </c>
      <c r="L32" s="2">
        <v>823</v>
      </c>
      <c r="M32" s="2">
        <v>2500</v>
      </c>
      <c r="N32" s="2">
        <v>2500</v>
      </c>
      <c r="O32" s="2">
        <v>2500</v>
      </c>
      <c r="P32" s="2">
        <v>2000</v>
      </c>
      <c r="Q32" s="2">
        <v>3200</v>
      </c>
      <c r="R32" s="64">
        <f t="shared" si="1"/>
        <v>0.28</v>
      </c>
    </row>
    <row r="33" spans="1:19" ht="12.75">
      <c r="A33" t="s">
        <v>376</v>
      </c>
      <c r="B33" s="4">
        <v>52.37</v>
      </c>
      <c r="C33" s="2"/>
      <c r="D33" s="2"/>
      <c r="E33" s="2">
        <v>451</v>
      </c>
      <c r="F33" s="2">
        <v>610</v>
      </c>
      <c r="G33" s="2"/>
      <c r="H33" s="2">
        <v>1015</v>
      </c>
      <c r="I33" s="2"/>
      <c r="J33" s="2">
        <v>570</v>
      </c>
      <c r="K33" s="2">
        <v>2535</v>
      </c>
      <c r="L33" s="2">
        <v>1295</v>
      </c>
      <c r="M33" s="2">
        <f t="shared" si="0"/>
        <v>2590</v>
      </c>
      <c r="N33" s="20">
        <v>2500</v>
      </c>
      <c r="O33" s="2">
        <v>2500</v>
      </c>
      <c r="P33" s="20">
        <v>2000</v>
      </c>
      <c r="Q33" s="20">
        <v>1200</v>
      </c>
      <c r="R33" s="64">
        <f t="shared" si="1"/>
        <v>-0.52</v>
      </c>
      <c r="S33" s="31" t="s">
        <v>410</v>
      </c>
    </row>
    <row r="34" spans="1:18" ht="12.75">
      <c r="A34" t="s">
        <v>78</v>
      </c>
      <c r="B34" s="4">
        <v>52.3701</v>
      </c>
      <c r="C34" s="2"/>
      <c r="D34" s="2"/>
      <c r="E34" s="2">
        <v>850</v>
      </c>
      <c r="F34" s="2">
        <v>1590</v>
      </c>
      <c r="G34" s="2">
        <v>1050</v>
      </c>
      <c r="H34" s="2">
        <v>1420</v>
      </c>
      <c r="I34" s="2"/>
      <c r="J34" s="2">
        <v>215</v>
      </c>
      <c r="K34" s="2">
        <v>920</v>
      </c>
      <c r="L34" s="2">
        <v>120</v>
      </c>
      <c r="M34" s="2">
        <f t="shared" si="0"/>
        <v>240</v>
      </c>
      <c r="N34" s="2">
        <v>600</v>
      </c>
      <c r="O34" s="2">
        <v>1175</v>
      </c>
      <c r="P34" s="2">
        <v>600</v>
      </c>
      <c r="Q34" s="2">
        <v>1200</v>
      </c>
      <c r="R34" s="64">
        <f t="shared" si="1"/>
        <v>1</v>
      </c>
    </row>
    <row r="35" spans="1:18" ht="12.75" hidden="1">
      <c r="A35" t="s">
        <v>568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4"/>
    </row>
    <row r="36" spans="1:18" ht="12.75" hidden="1">
      <c r="A36" t="s">
        <v>569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64"/>
    </row>
    <row r="37" spans="1:18" ht="12.75">
      <c r="A37" t="s">
        <v>629</v>
      </c>
      <c r="B37" s="4">
        <v>53.1319</v>
      </c>
      <c r="C37" s="2"/>
      <c r="D37" s="2"/>
      <c r="E37" s="2"/>
      <c r="F37" s="2"/>
      <c r="G37" s="2"/>
      <c r="H37" s="2"/>
      <c r="I37" s="2"/>
      <c r="J37" s="2"/>
      <c r="K37" s="2">
        <v>375</v>
      </c>
      <c r="L37" s="2">
        <v>4500</v>
      </c>
      <c r="M37" s="2">
        <v>4500</v>
      </c>
      <c r="N37" s="2">
        <v>4500</v>
      </c>
      <c r="O37" s="2">
        <v>4500</v>
      </c>
      <c r="P37" s="2">
        <v>4500</v>
      </c>
      <c r="Q37" s="2">
        <v>4500</v>
      </c>
      <c r="R37" s="64"/>
    </row>
    <row r="38" spans="2:18" ht="12.75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64"/>
    </row>
    <row r="39" spans="1:18" ht="12.75">
      <c r="A39" t="s">
        <v>595</v>
      </c>
      <c r="B39" s="4">
        <v>53.14</v>
      </c>
      <c r="C39" s="2"/>
      <c r="D39" s="2"/>
      <c r="E39" s="2"/>
      <c r="F39" s="2"/>
      <c r="G39" s="2"/>
      <c r="H39" s="2"/>
      <c r="I39" s="2"/>
      <c r="J39" s="2"/>
      <c r="K39" s="2">
        <v>870</v>
      </c>
      <c r="L39" s="2">
        <v>801</v>
      </c>
      <c r="M39" s="2">
        <v>1000</v>
      </c>
      <c r="N39" s="2">
        <v>1000</v>
      </c>
      <c r="O39" s="2">
        <v>1500</v>
      </c>
      <c r="P39" s="2">
        <v>800</v>
      </c>
      <c r="Q39" s="2">
        <v>800</v>
      </c>
      <c r="R39" s="64"/>
    </row>
    <row r="40" spans="1:18" ht="12.75">
      <c r="A40" t="s">
        <v>40</v>
      </c>
      <c r="B40" s="4">
        <v>53.171</v>
      </c>
      <c r="C40" s="2">
        <v>7150</v>
      </c>
      <c r="D40" s="2">
        <v>7650</v>
      </c>
      <c r="E40" s="2">
        <v>10750</v>
      </c>
      <c r="F40" s="2">
        <v>9807</v>
      </c>
      <c r="G40" s="2">
        <v>7981</v>
      </c>
      <c r="H40" s="2">
        <v>6359</v>
      </c>
      <c r="I40" s="2">
        <f>7985+754</f>
        <v>8739</v>
      </c>
      <c r="J40" s="2"/>
      <c r="K40" s="2">
        <f>8531+218</f>
        <v>8749</v>
      </c>
      <c r="L40" s="2">
        <v>2071</v>
      </c>
      <c r="M40" s="2">
        <f aca="true" t="shared" si="2" ref="M40:M47">+L40/$L$3*12</f>
        <v>4142</v>
      </c>
      <c r="N40" s="2">
        <v>7500</v>
      </c>
      <c r="O40" s="2">
        <v>7500</v>
      </c>
      <c r="P40" s="2">
        <v>5000</v>
      </c>
      <c r="Q40" s="2">
        <v>5000</v>
      </c>
      <c r="R40" s="64">
        <f aca="true" t="shared" si="3" ref="R40:R47">(Q40-N40)/N40</f>
        <v>-0.3333333333333333</v>
      </c>
    </row>
    <row r="41" spans="1:18" ht="12.75">
      <c r="A41" t="s">
        <v>630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>
        <v>72</v>
      </c>
      <c r="M41" s="2">
        <v>600</v>
      </c>
      <c r="N41" s="2">
        <v>600</v>
      </c>
      <c r="O41" s="2">
        <v>600</v>
      </c>
      <c r="P41" s="2"/>
      <c r="Q41" s="2"/>
      <c r="R41" s="64"/>
    </row>
    <row r="42" spans="1:18" ht="12.75">
      <c r="A42" t="s">
        <v>1</v>
      </c>
      <c r="B42" s="4">
        <v>53.1737</v>
      </c>
      <c r="C42" s="2"/>
      <c r="D42" s="2"/>
      <c r="E42" s="2"/>
      <c r="F42" s="2"/>
      <c r="G42" s="2"/>
      <c r="H42" s="2"/>
      <c r="I42" s="2"/>
      <c r="J42" s="2"/>
      <c r="K42" s="2"/>
      <c r="L42" s="2">
        <v>375</v>
      </c>
      <c r="M42" s="2">
        <v>375</v>
      </c>
      <c r="N42" s="2"/>
      <c r="O42" s="2">
        <v>375</v>
      </c>
      <c r="P42" s="2"/>
      <c r="Q42" s="2"/>
      <c r="R42" s="64"/>
    </row>
    <row r="43" spans="1:18" ht="12.75">
      <c r="A43" t="s">
        <v>79</v>
      </c>
      <c r="B43" s="4">
        <v>53.175</v>
      </c>
      <c r="C43" s="2">
        <v>1924</v>
      </c>
      <c r="D43" s="2">
        <v>173</v>
      </c>
      <c r="E43" s="2">
        <v>619</v>
      </c>
      <c r="F43" s="2">
        <v>917</v>
      </c>
      <c r="G43" s="2">
        <v>236</v>
      </c>
      <c r="H43" s="2">
        <v>123</v>
      </c>
      <c r="I43" s="2">
        <v>562</v>
      </c>
      <c r="J43" s="2">
        <v>565</v>
      </c>
      <c r="K43" s="2">
        <v>54</v>
      </c>
      <c r="L43" s="2">
        <v>162</v>
      </c>
      <c r="M43" s="2">
        <f t="shared" si="2"/>
        <v>324</v>
      </c>
      <c r="N43" s="2">
        <v>130</v>
      </c>
      <c r="O43" s="2">
        <v>130</v>
      </c>
      <c r="P43" s="2">
        <v>130</v>
      </c>
      <c r="Q43" s="2">
        <v>130</v>
      </c>
      <c r="R43" s="64">
        <f t="shared" si="3"/>
        <v>0</v>
      </c>
    </row>
    <row r="44" spans="1:18" ht="12.75">
      <c r="A44" t="s">
        <v>80</v>
      </c>
      <c r="B44" s="4">
        <v>53.176</v>
      </c>
      <c r="C44" s="2">
        <v>45</v>
      </c>
      <c r="D44" s="2">
        <v>22</v>
      </c>
      <c r="E44" s="2">
        <v>35</v>
      </c>
      <c r="F44" s="2">
        <v>101</v>
      </c>
      <c r="G44" s="2">
        <v>17</v>
      </c>
      <c r="H44" s="2">
        <v>23</v>
      </c>
      <c r="I44" s="2">
        <v>27</v>
      </c>
      <c r="J44" s="2">
        <v>22</v>
      </c>
      <c r="K44" s="2">
        <v>5</v>
      </c>
      <c r="L44" s="2">
        <v>5</v>
      </c>
      <c r="M44" s="2">
        <f t="shared" si="2"/>
        <v>10</v>
      </c>
      <c r="N44" s="2">
        <v>30</v>
      </c>
      <c r="O44" s="2">
        <v>30</v>
      </c>
      <c r="P44" s="2">
        <v>30</v>
      </c>
      <c r="Q44" s="2">
        <v>30</v>
      </c>
      <c r="R44" s="64">
        <f t="shared" si="3"/>
        <v>0</v>
      </c>
    </row>
    <row r="45" spans="1:18" ht="12.75">
      <c r="A45" t="s">
        <v>81</v>
      </c>
      <c r="B45" s="4">
        <v>53.177</v>
      </c>
      <c r="C45" s="2">
        <v>1</v>
      </c>
      <c r="D45" s="2">
        <v>45</v>
      </c>
      <c r="E45" s="2">
        <v>89</v>
      </c>
      <c r="F45" s="2">
        <v>328</v>
      </c>
      <c r="G45" s="2">
        <v>196</v>
      </c>
      <c r="H45" s="2"/>
      <c r="I45" s="2"/>
      <c r="J45" s="2"/>
      <c r="K45" s="2"/>
      <c r="L45" s="2"/>
      <c r="M45" s="2">
        <f t="shared" si="2"/>
        <v>0</v>
      </c>
      <c r="N45" s="2"/>
      <c r="O45" s="2"/>
      <c r="P45" s="2"/>
      <c r="Q45" s="2"/>
      <c r="R45" s="64" t="e">
        <f t="shared" si="3"/>
        <v>#DIV/0!</v>
      </c>
    </row>
    <row r="46" spans="1:18" ht="12.75">
      <c r="A46" t="s">
        <v>82</v>
      </c>
      <c r="B46" s="4">
        <v>53.178</v>
      </c>
      <c r="C46" s="2"/>
      <c r="D46" s="2"/>
      <c r="E46" s="2">
        <v>82</v>
      </c>
      <c r="F46" s="2">
        <v>153</v>
      </c>
      <c r="G46" s="2">
        <v>63</v>
      </c>
      <c r="H46" s="2">
        <v>63</v>
      </c>
      <c r="I46" s="2"/>
      <c r="J46" s="2"/>
      <c r="K46" s="2">
        <v>180</v>
      </c>
      <c r="L46" s="2"/>
      <c r="M46" s="2">
        <f t="shared" si="2"/>
        <v>0</v>
      </c>
      <c r="N46" s="2">
        <v>100</v>
      </c>
      <c r="O46" s="2">
        <v>100</v>
      </c>
      <c r="P46" s="2"/>
      <c r="Q46" s="2"/>
      <c r="R46" s="64">
        <f t="shared" si="3"/>
        <v>-1</v>
      </c>
    </row>
    <row r="47" spans="1:18" ht="12.75">
      <c r="A47" t="s">
        <v>70</v>
      </c>
      <c r="B47" s="4">
        <v>53.179</v>
      </c>
      <c r="C47" s="2">
        <v>356</v>
      </c>
      <c r="D47" s="2">
        <v>557</v>
      </c>
      <c r="E47" s="2">
        <v>481</v>
      </c>
      <c r="F47" s="2">
        <v>1172</v>
      </c>
      <c r="G47" s="2">
        <v>574</v>
      </c>
      <c r="H47" s="2">
        <v>253</v>
      </c>
      <c r="I47" s="2">
        <v>879</v>
      </c>
      <c r="J47" s="2">
        <v>364</v>
      </c>
      <c r="K47" s="2">
        <v>927</v>
      </c>
      <c r="L47" s="2">
        <v>664</v>
      </c>
      <c r="M47" s="2">
        <f t="shared" si="2"/>
        <v>1328</v>
      </c>
      <c r="N47" s="2">
        <v>2000</v>
      </c>
      <c r="O47" s="2">
        <v>2000</v>
      </c>
      <c r="P47" s="2">
        <v>1500</v>
      </c>
      <c r="Q47" s="2">
        <v>2000</v>
      </c>
      <c r="R47" s="64">
        <f t="shared" si="3"/>
        <v>0</v>
      </c>
    </row>
    <row r="48" spans="2:18" ht="10.5" customHeight="1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64"/>
    </row>
    <row r="49" spans="1:18" ht="12.75">
      <c r="A49" t="s">
        <v>269</v>
      </c>
      <c r="B49" s="4">
        <v>54.13</v>
      </c>
      <c r="C49" s="2"/>
      <c r="D49" s="2"/>
      <c r="E49" s="2">
        <v>325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64"/>
    </row>
    <row r="50" spans="1:19" ht="12.75">
      <c r="A50" t="s">
        <v>567</v>
      </c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150000</v>
      </c>
      <c r="N50" s="2">
        <v>150000</v>
      </c>
      <c r="O50" s="2">
        <v>41000</v>
      </c>
      <c r="P50" s="2"/>
      <c r="Q50" s="2"/>
      <c r="R50" s="64"/>
      <c r="S50" s="6" t="s">
        <v>731</v>
      </c>
    </row>
    <row r="51" spans="1:19" ht="12.75">
      <c r="A51" t="s">
        <v>732</v>
      </c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f>30000+15000+10000</f>
        <v>55000</v>
      </c>
      <c r="P51" s="2">
        <v>55000</v>
      </c>
      <c r="Q51" s="2">
        <v>55000</v>
      </c>
      <c r="R51" s="64"/>
      <c r="S51" s="6" t="s">
        <v>731</v>
      </c>
    </row>
    <row r="52" spans="1:19" ht="12.75">
      <c r="A52" t="s">
        <v>566</v>
      </c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>
        <v>175000</v>
      </c>
      <c r="N52" s="2">
        <v>175000</v>
      </c>
      <c r="O52" s="2">
        <v>450000</v>
      </c>
      <c r="P52" s="2">
        <v>450000</v>
      </c>
      <c r="Q52" s="2">
        <v>450000</v>
      </c>
      <c r="R52" s="64"/>
      <c r="S52" s="6" t="s">
        <v>606</v>
      </c>
    </row>
    <row r="53" spans="1:19" ht="12.75">
      <c r="A53" t="s">
        <v>771</v>
      </c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f>900*12</f>
        <v>10800</v>
      </c>
      <c r="P53" s="2"/>
      <c r="Q53" s="2">
        <f>900*12</f>
        <v>10800</v>
      </c>
      <c r="R53" s="64"/>
      <c r="S53" s="6"/>
    </row>
    <row r="54" spans="1:19" ht="12.75">
      <c r="A54" t="s">
        <v>253</v>
      </c>
      <c r="B54" s="4">
        <v>54.22</v>
      </c>
      <c r="C54" s="2"/>
      <c r="D54" s="2"/>
      <c r="F54" s="2">
        <v>1800</v>
      </c>
      <c r="G54" s="2"/>
      <c r="H54" s="2"/>
      <c r="I54" s="2"/>
      <c r="J54" s="2"/>
      <c r="K54" s="2"/>
      <c r="L54" s="2"/>
      <c r="M54" s="2"/>
      <c r="N54" s="2">
        <v>10000</v>
      </c>
      <c r="O54" s="2">
        <v>10000</v>
      </c>
      <c r="P54" s="2"/>
      <c r="Q54" s="2"/>
      <c r="R54" s="64"/>
      <c r="S54" s="2" t="s">
        <v>2</v>
      </c>
    </row>
    <row r="55" spans="1:18" ht="12.75">
      <c r="A55" t="s">
        <v>121</v>
      </c>
      <c r="B55" s="4">
        <v>54.24</v>
      </c>
      <c r="F55" s="2">
        <v>2520</v>
      </c>
      <c r="G55" s="2"/>
      <c r="H55" s="2">
        <v>3022</v>
      </c>
      <c r="I55" s="2">
        <v>2052</v>
      </c>
      <c r="J55" s="2"/>
      <c r="K55" s="2"/>
      <c r="L55" s="2">
        <v>3616</v>
      </c>
      <c r="M55" s="2">
        <v>3700</v>
      </c>
      <c r="N55" s="2">
        <v>500</v>
      </c>
      <c r="O55" s="2">
        <v>5000</v>
      </c>
      <c r="P55" s="2"/>
      <c r="Q55" s="2"/>
      <c r="R55" s="64"/>
    </row>
    <row r="56" spans="1:18" ht="12.75">
      <c r="A56" t="s">
        <v>3</v>
      </c>
      <c r="B56" s="4"/>
      <c r="F56" s="2"/>
      <c r="G56" s="2"/>
      <c r="H56" s="2"/>
      <c r="I56" s="2"/>
      <c r="J56" s="2"/>
      <c r="K56" s="2"/>
      <c r="L56" s="2"/>
      <c r="M56" s="2"/>
      <c r="N56" s="2"/>
      <c r="O56" s="2">
        <v>7500</v>
      </c>
      <c r="P56" s="2"/>
      <c r="Q56" s="2"/>
      <c r="R56" s="64"/>
    </row>
    <row r="57" spans="1:19" ht="12.75">
      <c r="A57" t="s">
        <v>83</v>
      </c>
      <c r="B57" s="4">
        <v>54.25</v>
      </c>
      <c r="C57" s="2"/>
      <c r="D57" s="2"/>
      <c r="E57" s="2">
        <v>4378</v>
      </c>
      <c r="F57" s="2">
        <v>6902</v>
      </c>
      <c r="G57" s="2"/>
      <c r="H57" s="2">
        <v>30530</v>
      </c>
      <c r="I57" s="2">
        <v>9000</v>
      </c>
      <c r="J57" s="2">
        <v>12735</v>
      </c>
      <c r="K57" s="2"/>
      <c r="L57" s="2">
        <v>376</v>
      </c>
      <c r="M57" s="2">
        <v>400</v>
      </c>
      <c r="N57" s="2"/>
      <c r="O57" s="2">
        <v>10000</v>
      </c>
      <c r="P57" s="2"/>
      <c r="Q57" s="2"/>
      <c r="R57" s="64"/>
      <c r="S57" s="2" t="s">
        <v>415</v>
      </c>
    </row>
    <row r="58" spans="1:19" ht="12.75" hidden="1">
      <c r="A58" t="s">
        <v>83</v>
      </c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9"/>
      <c r="S58" s="2"/>
    </row>
    <row r="59" spans="1:18" ht="12.75">
      <c r="A59" t="s">
        <v>631</v>
      </c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5000</v>
      </c>
      <c r="O59" s="2"/>
      <c r="P59" s="2"/>
      <c r="Q59" s="2"/>
      <c r="R59" s="49"/>
    </row>
    <row r="60" spans="1:18" ht="12.75">
      <c r="A60" t="s">
        <v>84</v>
      </c>
      <c r="B60" s="4">
        <v>58.12</v>
      </c>
      <c r="C60" s="2">
        <v>1318</v>
      </c>
      <c r="D60" s="2">
        <v>24558</v>
      </c>
      <c r="E60" s="2">
        <v>11011</v>
      </c>
      <c r="F60" s="2">
        <v>8541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49"/>
    </row>
    <row r="62" spans="1:18" ht="12.75">
      <c r="A62" s="6" t="s">
        <v>23</v>
      </c>
      <c r="B62" s="6"/>
      <c r="C62" s="7">
        <f aca="true" t="shared" si="4" ref="C62:I62">SUM(C7:C61)</f>
        <v>157620</v>
      </c>
      <c r="D62" s="8">
        <f t="shared" si="4"/>
        <v>221707</v>
      </c>
      <c r="E62" s="8">
        <f t="shared" si="4"/>
        <v>233454</v>
      </c>
      <c r="F62" s="8">
        <f t="shared" si="4"/>
        <v>278053</v>
      </c>
      <c r="G62" s="8">
        <f t="shared" si="4"/>
        <v>229493</v>
      </c>
      <c r="H62" s="8">
        <f t="shared" si="4"/>
        <v>229805</v>
      </c>
      <c r="I62" s="8">
        <f t="shared" si="4"/>
        <v>258872</v>
      </c>
      <c r="J62" s="8">
        <v>249921</v>
      </c>
      <c r="K62" s="8">
        <f aca="true" t="shared" si="5" ref="K62:Q62">SUM(K7:K61)</f>
        <v>263070</v>
      </c>
      <c r="L62" s="8">
        <f t="shared" si="5"/>
        <v>203687</v>
      </c>
      <c r="M62" s="8">
        <f t="shared" si="5"/>
        <v>651963.603</v>
      </c>
      <c r="N62" s="8">
        <f t="shared" si="5"/>
        <v>767291.6905</v>
      </c>
      <c r="O62" s="8">
        <f t="shared" si="5"/>
        <v>1118849.5</v>
      </c>
      <c r="P62" s="8">
        <f t="shared" si="5"/>
        <v>838166.2485125</v>
      </c>
      <c r="Q62" s="8">
        <f t="shared" si="5"/>
        <v>881390.4058325</v>
      </c>
      <c r="R62" s="50">
        <f>(Q62-N62)/N62</f>
        <v>0.1487031812610252</v>
      </c>
    </row>
    <row r="64" spans="14:16" ht="12.75">
      <c r="N64" s="21" t="s">
        <v>357</v>
      </c>
      <c r="O64" s="21"/>
      <c r="P64" s="53">
        <f>O62-P62</f>
        <v>280683.25148750003</v>
      </c>
    </row>
    <row r="65" spans="14:16" ht="12.75">
      <c r="N65" s="21" t="s">
        <v>545</v>
      </c>
      <c r="O65" s="21"/>
      <c r="P65" s="53">
        <f>N62-P62</f>
        <v>-70874.55801249994</v>
      </c>
    </row>
    <row r="66" spans="14:16" ht="12.75">
      <c r="N66" s="21" t="s">
        <v>307</v>
      </c>
      <c r="O66" s="21"/>
      <c r="P66" s="53">
        <f>P62-Q62</f>
        <v>-43224.15732</v>
      </c>
    </row>
    <row r="67" spans="14:16" ht="12.75">
      <c r="N67" s="21"/>
      <c r="O67" s="21"/>
      <c r="P67" s="53"/>
    </row>
    <row r="68" spans="1:16" ht="12.75">
      <c r="A68" t="s">
        <v>0</v>
      </c>
      <c r="N68" s="21"/>
      <c r="O68" s="21"/>
      <c r="P68" s="53"/>
    </row>
    <row r="69" ht="12.75">
      <c r="A69" t="s">
        <v>628</v>
      </c>
    </row>
    <row r="70" ht="12.75">
      <c r="A70" t="s">
        <v>10</v>
      </c>
    </row>
    <row r="71" ht="12.75">
      <c r="A71" t="s">
        <v>617</v>
      </c>
    </row>
    <row r="72" ht="12.75">
      <c r="A72" t="s">
        <v>4</v>
      </c>
    </row>
    <row r="73" ht="12.75">
      <c r="A73" s="31" t="s">
        <v>748</v>
      </c>
    </row>
    <row r="74" ht="12.75">
      <c r="A74" s="44" t="s">
        <v>745</v>
      </c>
    </row>
    <row r="75" ht="12.75">
      <c r="A75" t="s">
        <v>770</v>
      </c>
    </row>
    <row r="76" ht="12.75">
      <c r="A76" s="6"/>
    </row>
    <row r="89" ht="12.75">
      <c r="R89" s="2"/>
    </row>
    <row r="90" ht="12.75">
      <c r="R90" s="2"/>
    </row>
    <row r="91" ht="12.75">
      <c r="R91" s="2"/>
    </row>
    <row r="92" ht="12.75">
      <c r="R92" s="2"/>
    </row>
    <row r="93" ht="12.75">
      <c r="R93" s="2"/>
    </row>
    <row r="94" ht="12.75">
      <c r="R94" s="2"/>
    </row>
  </sheetData>
  <printOptions gridLines="1"/>
  <pageMargins left="0.25" right="0.25" top="1" bottom="0.55" header="0.5" footer="0.25"/>
  <pageSetup fitToHeight="1" fitToWidth="1" horizontalDpi="300" verticalDpi="300" orientation="landscape" scale="58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89"/>
  <sheetViews>
    <sheetView zoomScale="75" zoomScaleNormal="75" workbookViewId="0" topLeftCell="A1">
      <selection activeCell="O160" sqref="O160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hidden="1" customWidth="1"/>
    <col min="4" max="4" width="8.7109375" style="0" hidden="1" customWidth="1"/>
    <col min="5" max="5" width="9.140625" style="0" hidden="1" customWidth="1"/>
    <col min="6" max="8" width="8.7109375" style="0" hidden="1" customWidth="1"/>
    <col min="13" max="13" width="9.7109375" style="0" bestFit="1" customWidth="1"/>
    <col min="14" max="14" width="12.140625" style="0" customWidth="1"/>
    <col min="15" max="17" width="11.7109375" style="0" customWidth="1"/>
    <col min="18" max="18" width="9.421875" style="0" bestFit="1" customWidth="1"/>
    <col min="19" max="19" width="11.7109375" style="0" customWidth="1"/>
  </cols>
  <sheetData>
    <row r="1" ht="12.75">
      <c r="A1" t="s">
        <v>13</v>
      </c>
    </row>
    <row r="2" ht="12.75">
      <c r="A2" t="s">
        <v>14</v>
      </c>
    </row>
    <row r="3" spans="1:18" ht="12.75">
      <c r="A3" s="6" t="s">
        <v>315</v>
      </c>
      <c r="L3" s="54">
        <v>6</v>
      </c>
      <c r="M3" s="9"/>
      <c r="R3" s="1" t="s">
        <v>309</v>
      </c>
    </row>
    <row r="4" spans="3:18" ht="12.75">
      <c r="C4" s="1" t="s">
        <v>15</v>
      </c>
      <c r="D4" s="1"/>
      <c r="E4" s="1"/>
      <c r="F4" s="1"/>
      <c r="G4" s="1"/>
      <c r="H4" s="1"/>
      <c r="I4" s="1"/>
      <c r="J4" s="1"/>
      <c r="K4" s="1"/>
      <c r="L4" s="9" t="s">
        <v>305</v>
      </c>
      <c r="M4" s="9"/>
      <c r="N4" s="1"/>
      <c r="O4" s="3" t="s">
        <v>18</v>
      </c>
      <c r="P4" s="3" t="s">
        <v>436</v>
      </c>
      <c r="Q4" s="3" t="s">
        <v>437</v>
      </c>
      <c r="R4" s="1" t="s">
        <v>310</v>
      </c>
    </row>
    <row r="5" spans="3:18" ht="12.75">
      <c r="C5" s="1" t="s">
        <v>16</v>
      </c>
      <c r="D5" s="1" t="s">
        <v>296</v>
      </c>
      <c r="E5" s="1" t="s">
        <v>296</v>
      </c>
      <c r="F5" s="1" t="s">
        <v>296</v>
      </c>
      <c r="G5" s="1" t="s">
        <v>296</v>
      </c>
      <c r="H5" s="1" t="s">
        <v>296</v>
      </c>
      <c r="I5" s="1" t="s">
        <v>296</v>
      </c>
      <c r="J5" s="1" t="s">
        <v>296</v>
      </c>
      <c r="K5" s="1" t="s">
        <v>296</v>
      </c>
      <c r="L5" s="1" t="s">
        <v>296</v>
      </c>
      <c r="M5" s="1" t="s">
        <v>317</v>
      </c>
      <c r="N5" s="1" t="s">
        <v>234</v>
      </c>
      <c r="O5" s="3" t="s">
        <v>19</v>
      </c>
      <c r="P5" s="3" t="s">
        <v>20</v>
      </c>
      <c r="Q5" s="3" t="s">
        <v>21</v>
      </c>
      <c r="R5" s="1" t="s">
        <v>298</v>
      </c>
    </row>
    <row r="6" spans="1:19" ht="12.75">
      <c r="A6" t="s">
        <v>25</v>
      </c>
      <c r="C6" s="1">
        <v>1999</v>
      </c>
      <c r="D6" s="37">
        <v>2000</v>
      </c>
      <c r="E6" s="37">
        <v>2001</v>
      </c>
      <c r="F6" s="37">
        <v>2002</v>
      </c>
      <c r="G6" s="37">
        <v>2003</v>
      </c>
      <c r="H6" s="37">
        <v>2004</v>
      </c>
      <c r="I6" s="37">
        <v>2005</v>
      </c>
      <c r="J6" s="37">
        <v>2006</v>
      </c>
      <c r="K6" s="37">
        <v>2007</v>
      </c>
      <c r="L6" s="22">
        <v>2008</v>
      </c>
      <c r="M6" s="22">
        <v>2008</v>
      </c>
      <c r="N6" s="22">
        <v>2008</v>
      </c>
      <c r="O6" s="22">
        <v>2009</v>
      </c>
      <c r="P6" s="22">
        <v>2009</v>
      </c>
      <c r="Q6" s="22">
        <v>2009</v>
      </c>
      <c r="R6" s="22" t="s">
        <v>650</v>
      </c>
      <c r="S6" s="55" t="s">
        <v>22</v>
      </c>
    </row>
    <row r="7" spans="1:20" ht="12.75">
      <c r="A7" t="s">
        <v>493</v>
      </c>
      <c r="B7" s="4">
        <v>51.27</v>
      </c>
      <c r="C7" s="2">
        <v>80611</v>
      </c>
      <c r="D7" s="2">
        <v>83701</v>
      </c>
      <c r="E7" s="2">
        <v>90875</v>
      </c>
      <c r="F7" s="2">
        <v>107136</v>
      </c>
      <c r="G7" s="2">
        <v>150774</v>
      </c>
      <c r="H7" s="2">
        <v>123271</v>
      </c>
      <c r="I7" s="2">
        <v>130000</v>
      </c>
      <c r="J7" s="2">
        <v>121720</v>
      </c>
      <c r="K7" s="2">
        <v>147784</v>
      </c>
      <c r="L7" s="2">
        <v>56808</v>
      </c>
      <c r="M7" s="2">
        <v>105000</v>
      </c>
      <c r="N7" s="2">
        <v>150000</v>
      </c>
      <c r="O7" s="2">
        <v>120000</v>
      </c>
      <c r="P7" s="2">
        <v>120000</v>
      </c>
      <c r="Q7" s="2">
        <v>120000</v>
      </c>
      <c r="R7" s="49">
        <f>(Q7-N7)/N7</f>
        <v>-0.2</v>
      </c>
      <c r="T7" t="s">
        <v>603</v>
      </c>
    </row>
    <row r="8" spans="1:20" ht="12.75">
      <c r="A8" t="s">
        <v>362</v>
      </c>
      <c r="B8" s="4">
        <v>52.311</v>
      </c>
      <c r="C8" s="2">
        <v>90430</v>
      </c>
      <c r="D8" s="2">
        <v>92935</v>
      </c>
      <c r="E8" s="2">
        <v>112567</v>
      </c>
      <c r="F8" s="2">
        <v>108572</v>
      </c>
      <c r="G8" s="2">
        <v>114428</v>
      </c>
      <c r="H8" s="2">
        <v>149320</v>
      </c>
      <c r="I8" s="2">
        <v>147394</v>
      </c>
      <c r="J8" s="2">
        <f>14043+168520</f>
        <v>182563</v>
      </c>
      <c r="K8" s="2">
        <v>175539</v>
      </c>
      <c r="L8" s="2">
        <v>183871</v>
      </c>
      <c r="M8" s="2">
        <v>190000</v>
      </c>
      <c r="N8" s="2">
        <v>190000</v>
      </c>
      <c r="O8" s="2"/>
      <c r="P8" s="2"/>
      <c r="Q8" s="2"/>
      <c r="R8" s="49">
        <v>0.22919549363085504</v>
      </c>
      <c r="S8" t="s">
        <v>374</v>
      </c>
      <c r="T8" t="s">
        <v>603</v>
      </c>
    </row>
    <row r="9" spans="1:20" ht="12.75">
      <c r="A9" t="s">
        <v>660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128000</v>
      </c>
      <c r="P9" s="2">
        <v>128000</v>
      </c>
      <c r="Q9" s="2">
        <v>128000</v>
      </c>
      <c r="R9" s="49"/>
      <c r="S9" t="s">
        <v>251</v>
      </c>
      <c r="T9" t="s">
        <v>603</v>
      </c>
    </row>
    <row r="10" spans="1:20" ht="12.75">
      <c r="A10" t="s">
        <v>661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>N8</f>
        <v>190000</v>
      </c>
      <c r="P10" s="2">
        <v>190000</v>
      </c>
      <c r="Q10" s="2">
        <v>190000</v>
      </c>
      <c r="R10" s="49"/>
      <c r="S10" t="s">
        <v>662</v>
      </c>
      <c r="T10" t="s">
        <v>603</v>
      </c>
    </row>
    <row r="11" spans="1:18" ht="12.75">
      <c r="A11" t="s">
        <v>651</v>
      </c>
      <c r="B11" s="4">
        <v>52.3197</v>
      </c>
      <c r="C11" s="2"/>
      <c r="D11" s="2"/>
      <c r="E11" s="2"/>
      <c r="F11" s="2"/>
      <c r="G11" s="2"/>
      <c r="H11" s="2"/>
      <c r="I11" s="2"/>
      <c r="J11" s="2"/>
      <c r="K11" s="2">
        <v>1368</v>
      </c>
      <c r="L11" s="2">
        <v>2297</v>
      </c>
      <c r="M11" s="2">
        <v>3000</v>
      </c>
      <c r="N11" s="2"/>
      <c r="O11" s="2">
        <v>3000</v>
      </c>
      <c r="P11" s="2">
        <v>3000</v>
      </c>
      <c r="Q11" s="2">
        <v>3000</v>
      </c>
      <c r="R11" s="49"/>
    </row>
    <row r="12" spans="2:18" ht="12.75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9"/>
    </row>
    <row r="13" spans="1:18" ht="12.75">
      <c r="A13" t="s">
        <v>449</v>
      </c>
      <c r="B13" s="4"/>
      <c r="C13" s="2"/>
      <c r="D13" s="2"/>
      <c r="E13" s="2"/>
      <c r="F13" s="2"/>
      <c r="G13" s="2"/>
      <c r="H13" s="2"/>
      <c r="I13" s="2">
        <f>700+108851</f>
        <v>109551</v>
      </c>
      <c r="J13" s="2"/>
      <c r="K13" s="2"/>
      <c r="L13" s="2"/>
      <c r="M13" s="2"/>
      <c r="N13" s="2"/>
      <c r="O13" s="2"/>
      <c r="P13" s="2"/>
      <c r="Q13" s="2"/>
      <c r="R13" s="49"/>
    </row>
    <row r="14" spans="1:18" ht="12.75">
      <c r="A14" t="s">
        <v>523</v>
      </c>
      <c r="B14" s="4"/>
      <c r="C14" s="2"/>
      <c r="D14" s="2"/>
      <c r="E14" s="2"/>
      <c r="F14" s="2"/>
      <c r="G14" s="2"/>
      <c r="H14" s="2"/>
      <c r="I14" s="2">
        <v>39377</v>
      </c>
      <c r="J14" s="2">
        <v>74723</v>
      </c>
      <c r="K14" s="2"/>
      <c r="L14" s="2"/>
      <c r="M14" s="2"/>
      <c r="N14" s="2"/>
      <c r="O14" s="2"/>
      <c r="P14" s="2"/>
      <c r="Q14" s="2"/>
      <c r="R14" s="49"/>
    </row>
    <row r="15" spans="1:18" ht="12.75">
      <c r="A15" t="s">
        <v>524</v>
      </c>
      <c r="B15" s="4"/>
      <c r="C15" s="2"/>
      <c r="D15" s="2"/>
      <c r="E15" s="2"/>
      <c r="F15" s="2"/>
      <c r="G15" s="2"/>
      <c r="H15" s="2"/>
      <c r="I15" s="2">
        <f>14817+200</f>
        <v>15017</v>
      </c>
      <c r="J15" s="2">
        <v>69338</v>
      </c>
      <c r="K15" s="2"/>
      <c r="L15" s="2"/>
      <c r="M15" s="2"/>
      <c r="N15" s="2"/>
      <c r="O15" s="2"/>
      <c r="P15" s="2"/>
      <c r="Q15" s="2"/>
      <c r="R15" s="49"/>
    </row>
    <row r="16" spans="1:19" ht="12.75">
      <c r="A16" t="s">
        <v>585</v>
      </c>
      <c r="B16" s="4"/>
      <c r="C16" s="2"/>
      <c r="D16" s="2"/>
      <c r="E16" s="2"/>
      <c r="F16" s="2"/>
      <c r="G16" s="2"/>
      <c r="H16" s="2"/>
      <c r="I16" s="2"/>
      <c r="J16" s="2">
        <v>1083</v>
      </c>
      <c r="K16" s="2">
        <v>14798</v>
      </c>
      <c r="L16" s="2"/>
      <c r="M16" s="2"/>
      <c r="N16" s="2"/>
      <c r="O16" s="2"/>
      <c r="P16" s="2"/>
      <c r="Q16" s="2"/>
      <c r="R16" s="49"/>
      <c r="S16" t="s">
        <v>608</v>
      </c>
    </row>
    <row r="17" spans="1:18" ht="12.75">
      <c r="A17" t="s">
        <v>586</v>
      </c>
      <c r="B17" s="4"/>
      <c r="C17" s="2"/>
      <c r="D17" s="2"/>
      <c r="E17" s="2"/>
      <c r="F17" s="2"/>
      <c r="G17" s="2"/>
      <c r="H17" s="2"/>
      <c r="I17" s="2"/>
      <c r="J17" s="2">
        <v>11143</v>
      </c>
      <c r="K17" s="2"/>
      <c r="L17" s="2"/>
      <c r="M17" s="2"/>
      <c r="N17" s="2"/>
      <c r="O17" s="2"/>
      <c r="P17" s="2"/>
      <c r="Q17" s="2"/>
      <c r="R17" s="49"/>
    </row>
    <row r="18" spans="1:19" ht="12.75">
      <c r="A18" t="s">
        <v>774</v>
      </c>
      <c r="B18" s="4">
        <v>53.1752</v>
      </c>
      <c r="C18" s="2"/>
      <c r="D18" s="2"/>
      <c r="E18" s="2"/>
      <c r="F18" s="2"/>
      <c r="G18" s="2">
        <v>511</v>
      </c>
      <c r="H18" s="2">
        <v>3561</v>
      </c>
      <c r="I18" s="2">
        <v>2906</v>
      </c>
      <c r="J18" s="2">
        <v>1332</v>
      </c>
      <c r="K18" s="2">
        <v>6784</v>
      </c>
      <c r="L18" s="2">
        <v>2268.5</v>
      </c>
      <c r="M18" s="2">
        <v>3000</v>
      </c>
      <c r="N18" s="2">
        <v>4000</v>
      </c>
      <c r="O18" s="2">
        <v>4000</v>
      </c>
      <c r="P18" s="2">
        <v>4000</v>
      </c>
      <c r="Q18" s="2">
        <v>4000</v>
      </c>
      <c r="R18" s="49"/>
      <c r="S18" t="s">
        <v>410</v>
      </c>
    </row>
    <row r="19" spans="1:18" ht="12.75">
      <c r="A19" t="s">
        <v>596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9"/>
    </row>
    <row r="20" spans="1:18" ht="12.75">
      <c r="A20" s="6" t="s">
        <v>23</v>
      </c>
      <c r="B20" s="6"/>
      <c r="C20" s="8">
        <f>SUM(C7:C8)</f>
        <v>171041</v>
      </c>
      <c r="D20" s="8">
        <f>SUM(D7:D8)</f>
        <v>176636</v>
      </c>
      <c r="E20" s="8">
        <f>SUM(E7:E18)</f>
        <v>203442</v>
      </c>
      <c r="F20" s="8">
        <f>SUM(F7:F18)</f>
        <v>215708</v>
      </c>
      <c r="G20" s="8">
        <f>SUM(G7:G18)</f>
        <v>265713</v>
      </c>
      <c r="H20" s="8">
        <f>SUM(H7:H18)</f>
        <v>276152</v>
      </c>
      <c r="I20" s="8">
        <f>SUM(I7:I18)</f>
        <v>444245</v>
      </c>
      <c r="J20" s="8">
        <v>435633</v>
      </c>
      <c r="K20" s="8">
        <f aca="true" t="shared" si="0" ref="K20:Q20">SUM(K7:K19)</f>
        <v>346273</v>
      </c>
      <c r="L20" s="8">
        <f t="shared" si="0"/>
        <v>245244.5</v>
      </c>
      <c r="M20" s="8">
        <f t="shared" si="0"/>
        <v>301000</v>
      </c>
      <c r="N20" s="8">
        <f t="shared" si="0"/>
        <v>344000</v>
      </c>
      <c r="O20" s="8">
        <f t="shared" si="0"/>
        <v>445000</v>
      </c>
      <c r="P20" s="8">
        <f t="shared" si="0"/>
        <v>445000</v>
      </c>
      <c r="Q20" s="8">
        <f t="shared" si="0"/>
        <v>445000</v>
      </c>
      <c r="R20" s="50">
        <f>(Q20-N20)/N20</f>
        <v>0.2936046511627907</v>
      </c>
    </row>
    <row r="21" spans="3:18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9"/>
    </row>
    <row r="22" spans="3:18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1" t="s">
        <v>357</v>
      </c>
      <c r="O22" s="21"/>
      <c r="P22" s="53">
        <f>O20-P20</f>
        <v>0</v>
      </c>
      <c r="Q22" s="2"/>
      <c r="R22" s="49"/>
    </row>
    <row r="23" spans="14:18" ht="12.75">
      <c r="N23" s="21" t="s">
        <v>545</v>
      </c>
      <c r="O23" s="21"/>
      <c r="P23" s="53">
        <f>N20-P20</f>
        <v>-101000</v>
      </c>
      <c r="R23" s="49"/>
    </row>
    <row r="24" spans="14:18" ht="12.75">
      <c r="N24" s="21" t="s">
        <v>307</v>
      </c>
      <c r="O24" s="21"/>
      <c r="P24" s="53">
        <f>P20-Q20</f>
        <v>0</v>
      </c>
      <c r="R24" s="49"/>
    </row>
    <row r="25" spans="14:18" ht="12.75">
      <c r="N25" s="21"/>
      <c r="O25" s="21"/>
      <c r="P25" s="53"/>
      <c r="R25" s="49"/>
    </row>
    <row r="26" spans="1:18" ht="12.75">
      <c r="A26" t="s">
        <v>411</v>
      </c>
      <c r="R26" s="73" t="s">
        <v>414</v>
      </c>
    </row>
    <row r="27" spans="1:18" ht="12.75">
      <c r="A27" t="s">
        <v>412</v>
      </c>
      <c r="E27" s="72">
        <f aca="true" t="shared" si="1" ref="E27:K28">(E7-D7)/D7</f>
        <v>0.08570984814996237</v>
      </c>
      <c r="F27" s="72">
        <f t="shared" si="1"/>
        <v>0.17893810178817057</v>
      </c>
      <c r="G27" s="72">
        <f>(G7-F7)/F7</f>
        <v>0.4073140681003584</v>
      </c>
      <c r="H27" s="72">
        <f>(H7-G7)/G7</f>
        <v>-0.18241208696459602</v>
      </c>
      <c r="I27" s="72">
        <f>(I7-H7)/H7</f>
        <v>0.05458704804860835</v>
      </c>
      <c r="J27" s="72">
        <f>(J7-I7)/I7</f>
        <v>-0.06369230769230769</v>
      </c>
      <c r="K27" s="72">
        <f>(K7-J7)/J7</f>
        <v>0.2141307919815971</v>
      </c>
      <c r="R27" s="49">
        <f>SUM(E27:L27)/5</f>
        <v>0.13891509268235863</v>
      </c>
    </row>
    <row r="28" spans="1:18" ht="12.75">
      <c r="A28" t="s">
        <v>413</v>
      </c>
      <c r="E28" s="72">
        <f t="shared" si="1"/>
        <v>0.21124441814171194</v>
      </c>
      <c r="F28" s="72">
        <f t="shared" si="1"/>
        <v>-0.03548997485941706</v>
      </c>
      <c r="G28" s="72">
        <f t="shared" si="1"/>
        <v>0.0539365582286409</v>
      </c>
      <c r="H28" s="72">
        <f t="shared" si="1"/>
        <v>0.3049253679169434</v>
      </c>
      <c r="I28" s="72">
        <f t="shared" si="1"/>
        <v>-0.012898473077953389</v>
      </c>
      <c r="J28" s="72">
        <f t="shared" si="1"/>
        <v>0.23860537063923903</v>
      </c>
      <c r="K28" s="72">
        <f t="shared" si="1"/>
        <v>-0.03847438966274656</v>
      </c>
      <c r="R28" s="49">
        <f>SUM(E28:L28)/5</f>
        <v>0.14436977546528365</v>
      </c>
    </row>
    <row r="29" spans="5:18" ht="12.75">
      <c r="E29" s="72"/>
      <c r="F29" s="72"/>
      <c r="G29" s="72"/>
      <c r="H29" s="72"/>
      <c r="I29" s="72"/>
      <c r="J29" s="72"/>
      <c r="K29" s="72"/>
      <c r="R29" s="49"/>
    </row>
    <row r="30" spans="1:20" ht="12.75">
      <c r="A30" t="s">
        <v>664</v>
      </c>
      <c r="R30" s="49"/>
      <c r="T30" t="s">
        <v>489</v>
      </c>
    </row>
    <row r="31" spans="1:18" ht="12.75">
      <c r="A31" t="s">
        <v>737</v>
      </c>
      <c r="R31" s="49"/>
    </row>
    <row r="32" spans="1:18" ht="12.75">
      <c r="A32" t="s">
        <v>663</v>
      </c>
      <c r="R32" s="49"/>
    </row>
    <row r="33" spans="1:18" ht="12.75">
      <c r="A33" t="s">
        <v>775</v>
      </c>
      <c r="R33" s="49"/>
    </row>
    <row r="34" spans="1:18" ht="12.75">
      <c r="A34" t="s">
        <v>769</v>
      </c>
      <c r="R34" s="49"/>
    </row>
    <row r="35" ht="12.75">
      <c r="R35" s="49"/>
    </row>
    <row r="36" ht="12.75">
      <c r="R36" s="49"/>
    </row>
    <row r="37" ht="12.75">
      <c r="R37" s="49"/>
    </row>
    <row r="38" ht="12.75">
      <c r="R38" s="49"/>
    </row>
    <row r="39" ht="12.75">
      <c r="R39" s="49"/>
    </row>
    <row r="40" ht="12.75">
      <c r="R40" s="49"/>
    </row>
    <row r="41" ht="12.75">
      <c r="R41" s="49"/>
    </row>
    <row r="42" ht="12.75">
      <c r="R42" s="49"/>
    </row>
    <row r="43" ht="12.75">
      <c r="R43" s="49"/>
    </row>
    <row r="44" ht="12.75">
      <c r="R44" s="49"/>
    </row>
    <row r="45" ht="12.75">
      <c r="R45" s="49"/>
    </row>
    <row r="46" ht="12.75">
      <c r="R46" s="49"/>
    </row>
    <row r="47" ht="12.75">
      <c r="R47" s="49"/>
    </row>
    <row r="48" ht="12.75">
      <c r="R48" s="49"/>
    </row>
    <row r="49" ht="12.75">
      <c r="R49" s="49"/>
    </row>
    <row r="84" ht="12.75">
      <c r="R84" s="2"/>
    </row>
    <row r="85" ht="12.75">
      <c r="R85" s="2"/>
    </row>
    <row r="86" ht="12.75">
      <c r="R86" s="2"/>
    </row>
    <row r="87" ht="12.75">
      <c r="R87" s="2"/>
    </row>
    <row r="88" ht="12.75">
      <c r="R88" s="2"/>
    </row>
    <row r="89" ht="12.75">
      <c r="R89" s="2"/>
    </row>
  </sheetData>
  <printOptions gridLines="1"/>
  <pageMargins left="0.25" right="0.25" top="1" bottom="0.55" header="0.5" footer="0.25"/>
  <pageSetup fitToHeight="1" fitToWidth="1" horizontalDpi="300" verticalDpi="300" orientation="landscape" scale="78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 CO 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</cp:lastModifiedBy>
  <cp:lastPrinted>2008-10-01T13:55:08Z</cp:lastPrinted>
  <dcterms:created xsi:type="dcterms:W3CDTF">2001-08-02T22:29:16Z</dcterms:created>
  <dcterms:modified xsi:type="dcterms:W3CDTF">2008-10-29T18:18:40Z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-722131539</vt:i4>
  </property>
  <property fmtid="{D5CDD505-2E9C-101B-9397-08002B2CF9AE}" pid="3" name="_EmailSubject">
    <vt:lpwstr>general fund FY09 for distribution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Jon Caime</vt:lpwstr>
  </property>
  <property fmtid="{D5CDD505-2E9C-101B-9397-08002B2CF9AE}" pid="6" name="_ReviewingToolsShownOnce">
    <vt:lpwstr/>
  </property>
</Properties>
</file>