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475" windowWidth="12825" windowHeight="6435" activeTab="2"/>
  </bookViews>
  <sheets>
    <sheet name="Department Nos." sheetId="1" r:id="rId1"/>
    <sheet name="GF Rev" sheetId="2" r:id="rId2"/>
    <sheet name="Expense Summary" sheetId="3" r:id="rId3"/>
    <sheet name="GF10000" sheetId="4" r:id="rId4"/>
    <sheet name="GF13000" sheetId="5" r:id="rId5"/>
    <sheet name="GF14000" sheetId="6" r:id="rId6"/>
    <sheet name="GF14100" sheetId="7" r:id="rId7"/>
    <sheet name="GF15300" sheetId="8" r:id="rId8"/>
    <sheet name="GF15450" sheetId="9" r:id="rId9"/>
    <sheet name="GF15500" sheetId="10" r:id="rId10"/>
    <sheet name="GF15550" sheetId="11" r:id="rId11"/>
    <sheet name="GF15600" sheetId="12" r:id="rId12"/>
    <sheet name="GF15650" sheetId="13" r:id="rId13"/>
    <sheet name="GF15950" sheetId="14" r:id="rId14"/>
    <sheet name="GF21500" sheetId="15" r:id="rId15"/>
    <sheet name="GF21800" sheetId="16" r:id="rId16"/>
    <sheet name="GF22000" sheetId="17" r:id="rId17"/>
    <sheet name="GF24000" sheetId="18" r:id="rId18"/>
    <sheet name="GF24500" sheetId="19" r:id="rId19"/>
    <sheet name="GF27000" sheetId="20" r:id="rId20"/>
    <sheet name="GF27500" sheetId="21" r:id="rId21"/>
    <sheet name="GF28000" sheetId="22" r:id="rId22"/>
    <sheet name="GF28100" sheetId="23" r:id="rId23"/>
    <sheet name="GF33000" sheetId="24" r:id="rId24"/>
    <sheet name="GF33260" sheetId="25" r:id="rId25"/>
    <sheet name="GF34200" sheetId="26" r:id="rId26"/>
    <sheet name="GF36000" sheetId="27" r:id="rId27"/>
    <sheet name="GF37000" sheetId="28" r:id="rId28"/>
    <sheet name="GF39100" sheetId="29" r:id="rId29"/>
    <sheet name="GF39200" sheetId="30" r:id="rId30"/>
    <sheet name="GF42000" sheetId="31" r:id="rId31"/>
    <sheet name="GF49000" sheetId="32" r:id="rId32"/>
    <sheet name="GF51000" sheetId="33" r:id="rId33"/>
    <sheet name="GF54000" sheetId="34" r:id="rId34"/>
    <sheet name="GF55200" sheetId="35" r:id="rId35"/>
    <sheet name="GF55400" sheetId="36" r:id="rId36"/>
    <sheet name="GF61000" sheetId="37" r:id="rId37"/>
    <sheet name="GF61900" sheetId="38" r:id="rId38"/>
    <sheet name="GF65100" sheetId="39" r:id="rId39"/>
    <sheet name="GF71300" sheetId="40" r:id="rId40"/>
    <sheet name="GF71400" sheetId="41" r:id="rId41"/>
    <sheet name="GF75000" sheetId="42" r:id="rId42"/>
    <sheet name="GF75630" sheetId="43" r:id="rId43"/>
    <sheet name="GF76300" sheetId="44" r:id="rId44"/>
    <sheet name="GF76400" sheetId="45" r:id="rId45"/>
    <sheet name="Benefits" sheetId="46" r:id="rId46"/>
    <sheet name="GF26000 legacy" sheetId="47" r:id="rId47"/>
    <sheet name="GF28110 legacy" sheetId="48" r:id="rId48"/>
    <sheet name="GF41000 legacy" sheetId="49" r:id="rId49"/>
    <sheet name="GF44100 legacy" sheetId="50" r:id="rId50"/>
    <sheet name="GF45410 legacy" sheetId="51" r:id="rId51"/>
  </sheets>
  <definedNames>
    <definedName name="_xlnm.Print_Titles" localSheetId="1">'GF Rev'!$2:$4</definedName>
    <definedName name="_xlnm.Print_Titles" localSheetId="3">'GF10000'!$3:$6</definedName>
  </definedNames>
  <calcPr fullCalcOnLoad="1"/>
</workbook>
</file>

<file path=xl/comments16.xml><?xml version="1.0" encoding="utf-8"?>
<comments xmlns="http://schemas.openxmlformats.org/spreadsheetml/2006/main">
  <authors>
    <author>Hart County Administrator</author>
  </authors>
  <commentList>
    <comment ref="A18" authorId="0">
      <text>
        <r>
          <rPr>
            <sz val="8"/>
            <rFont val="Tahoma"/>
            <family val="2"/>
          </rPr>
          <t>copier maint</t>
        </r>
      </text>
    </comment>
    <comment ref="A17" authorId="0">
      <text>
        <r>
          <rPr>
            <sz val="8"/>
            <rFont val="Tahoma"/>
            <family val="2"/>
          </rPr>
          <t>Lease on Copiers</t>
        </r>
      </text>
    </comment>
    <comment ref="A19" authorId="0">
      <text>
        <r>
          <rPr>
            <sz val="8"/>
            <rFont val="Tahoma"/>
            <family val="2"/>
          </rPr>
          <t>software for deed records</t>
        </r>
      </text>
    </comment>
  </commentList>
</comments>
</file>

<file path=xl/comments2.xml><?xml version="1.0" encoding="utf-8"?>
<comments xmlns="http://schemas.openxmlformats.org/spreadsheetml/2006/main">
  <authors>
    <author>Hart County GA</author>
    <author> Jon Caime, County Administrator</author>
    <author> Jon Caime Hart County Administrator</author>
  </authors>
  <commentList>
    <comment ref="A26" authorId="0">
      <text>
        <r>
          <rPr>
            <b/>
            <sz val="8"/>
            <rFont val="Tahoma"/>
            <family val="0"/>
          </rPr>
          <t>tax abatement fee in lieu of taxes</t>
        </r>
      </text>
    </comment>
    <comment ref="A17" authorId="1">
      <text>
        <r>
          <rPr>
            <sz val="8"/>
            <rFont val="Tahoma"/>
            <family val="2"/>
          </rPr>
          <t>fees for tax comm tags mailings</t>
        </r>
      </text>
    </comment>
    <comment ref="A5" authorId="2">
      <text>
        <r>
          <rPr>
            <b/>
            <sz val="8"/>
            <rFont val="Tahoma"/>
            <family val="0"/>
          </rPr>
          <t>temp coll order, will loose some value due to appeals</t>
        </r>
      </text>
    </comment>
    <comment ref="P5" authorId="2">
      <text>
        <r>
          <rPr>
            <b/>
            <sz val="8"/>
            <rFont val="Tahoma"/>
            <family val="0"/>
          </rPr>
          <t xml:space="preserve"> add HTRG and reval increase</t>
        </r>
      </text>
    </comment>
    <comment ref="N33" authorId="2">
      <text>
        <r>
          <rPr>
            <b/>
            <sz val="8"/>
            <rFont val="Tahoma"/>
            <family val="0"/>
          </rPr>
          <t>includes ar for 2 months</t>
        </r>
      </text>
    </comment>
  </commentList>
</comments>
</file>

<file path=xl/comments24.xml><?xml version="1.0" encoding="utf-8"?>
<comments xmlns="http://schemas.openxmlformats.org/spreadsheetml/2006/main">
  <authors>
    <author> Jon Caime Hart County Administrator</author>
  </authors>
  <commentList>
    <comment ref="Q48" authorId="0">
      <text>
        <r>
          <rPr>
            <b/>
            <sz val="8"/>
            <rFont val="Tahoma"/>
            <family val="0"/>
          </rPr>
          <t>5 cars</t>
        </r>
      </text>
    </comment>
  </commentList>
</comments>
</file>

<file path=xl/comments3.xml><?xml version="1.0" encoding="utf-8"?>
<comments xmlns="http://schemas.openxmlformats.org/spreadsheetml/2006/main">
  <authors>
    <author>Hart County Administrator</author>
    <author> Jon Caime Hart County Administrator</author>
  </authors>
  <commentList>
    <comment ref="T4" authorId="0">
      <text>
        <r>
          <rPr>
            <sz val="8"/>
            <rFont val="Tahoma"/>
            <family val="2"/>
          </rPr>
          <t>negative is an increase</t>
        </r>
      </text>
    </comment>
    <comment ref="R58" authorId="1">
      <text>
        <r>
          <rPr>
            <b/>
            <sz val="8"/>
            <rFont val="Tahoma"/>
            <family val="0"/>
          </rPr>
          <t>contigency 100k
tax assess 506k</t>
        </r>
      </text>
    </comment>
  </commentList>
</comments>
</file>

<file path=xl/comments4.xml><?xml version="1.0" encoding="utf-8"?>
<comments xmlns="http://schemas.openxmlformats.org/spreadsheetml/2006/main">
  <authors>
    <author> Jon Caime, County Administrator</author>
  </authors>
  <commentList>
    <comment ref="P24" authorId="0">
      <text>
        <r>
          <rPr>
            <b/>
            <sz val="8"/>
            <rFont val="Tahoma"/>
            <family val="0"/>
          </rPr>
          <t>131.25/mo</t>
        </r>
      </text>
    </comment>
  </commentList>
</comments>
</file>

<file path=xl/comments46.xml><?xml version="1.0" encoding="utf-8"?>
<comments xmlns="http://schemas.openxmlformats.org/spreadsheetml/2006/main">
  <authors>
    <author> Jon Caime Hart County Administrator</author>
  </authors>
  <commentList>
    <comment ref="X5" authorId="0">
      <text>
        <r>
          <rPr>
            <b/>
            <sz val="8"/>
            <rFont val="Tahoma"/>
            <family val="0"/>
          </rPr>
          <t>guesstimate</t>
        </r>
      </text>
    </comment>
  </commentList>
</comments>
</file>

<file path=xl/sharedStrings.xml><?xml version="1.0" encoding="utf-8"?>
<sst xmlns="http://schemas.openxmlformats.org/spreadsheetml/2006/main" count="3364" uniqueCount="1070">
  <si>
    <t>note 1: dept wants part time converted to full time, rec asst dir position eliminated</t>
  </si>
  <si>
    <t>note 1:No State COLA for sheriff removes one SRO and transfers one SRO to deputy position</t>
  </si>
  <si>
    <t>note 2:  includes "lean" manufacturing professional services for projects as incentive.  If more projects occur during FY then more money may be needed</t>
  </si>
  <si>
    <t>note 7</t>
  </si>
  <si>
    <t>budget rev.:</t>
  </si>
  <si>
    <t>note3</t>
  </si>
  <si>
    <t>note 3 applied for 50% grant</t>
  </si>
  <si>
    <t>note 1:  four additional personnel approved by BOC for bush hog service FY08</t>
  </si>
  <si>
    <t>Animal Shelter Grant</t>
  </si>
  <si>
    <t>Animal Shelter Construction</t>
  </si>
  <si>
    <t>franklin co not contributing anymore</t>
  </si>
  <si>
    <t>note 8:  Moved expenses to 110 acct to liquidate account in FY09</t>
  </si>
  <si>
    <t>note 8</t>
  </si>
  <si>
    <t>note 4,8</t>
  </si>
  <si>
    <t>note 2: based on actual bill for Oct. 1,2008- July 1, 2009</t>
  </si>
  <si>
    <t>Lake Hartwell Economic Impact Study</t>
  </si>
  <si>
    <t xml:space="preserve">note 4: Incentive pay for economic developer based on new jobs nte $11,000, admin recc raising cap to $25,000 </t>
  </si>
  <si>
    <t>note 6: "speculation" means that at this point we do not know more firm numbers for insurance. Actual numbers become more concrete as fiscal year ends and new proposals received.</t>
  </si>
  <si>
    <t>note 3: "speculation" means that at this point we do not know more firm numbers for insurance. Actual numbers become more concrete as fiscal year ends and new proposals received.</t>
  </si>
  <si>
    <t>addressing fee</t>
  </si>
  <si>
    <t>PROGRAM DEAD</t>
  </si>
  <si>
    <t>note 3: 5% budget cuts for FY09 Library Board will pay for audit</t>
  </si>
  <si>
    <t>Note 1: move to ins. Premium for FY09</t>
  </si>
  <si>
    <t>note 3: chamber of commerce manage this account, annual budget will be $15,000 fy10</t>
  </si>
  <si>
    <t>Base Wages- Registrars</t>
  </si>
  <si>
    <t>Achievers Inc Grant</t>
  </si>
  <si>
    <t>dead program</t>
  </si>
  <si>
    <t>Stuctural improvements Shelter</t>
  </si>
  <si>
    <t>Shelter Replacement</t>
  </si>
  <si>
    <t>note 4; reinforcement of picnic shelter at clay street park to minimize storm damage potential (FY09)  currently out for bid</t>
  </si>
  <si>
    <t>note 5:  replacement of picnic shelter at Clay Street park (currently under design) for FY09 (Insurance reimbursement received FY08)</t>
  </si>
  <si>
    <t xml:space="preserve">note: "speculation" means that at this point we do not know more firm numbers for insurance. Actual numbers become more concrete when new policy received first quarter of next fiscal year </t>
  </si>
  <si>
    <t>ODP/911 EQUIPMT</t>
  </si>
  <si>
    <t>REC (BOC)</t>
  </si>
  <si>
    <t>funding eliminated?</t>
  </si>
  <si>
    <t>Interest Pinnacle</t>
  </si>
  <si>
    <t>Dues and fees</t>
  </si>
  <si>
    <t>note 1: state COLA for elected COC not included</t>
  </si>
  <si>
    <t>5th district meeting</t>
  </si>
  <si>
    <t>use 204</t>
  </si>
  <si>
    <t>note 1: this is now a revenue only for BOC transit program</t>
  </si>
  <si>
    <t>DFACs Trans Grant</t>
  </si>
  <si>
    <t>note 5;  DFACs Transportation Grant now run through this transit</t>
  </si>
  <si>
    <t>note 6: meals on wheels</t>
  </si>
  <si>
    <t>Potential DHR Aging Grant (FY10?)</t>
  </si>
  <si>
    <t>note 2 Dept had 5% overall cut in FY09</t>
  </si>
  <si>
    <t>Building repairs</t>
  </si>
  <si>
    <t>budgeted deficit:</t>
  </si>
  <si>
    <t>major one time capital budgeted from fb:</t>
  </si>
  <si>
    <t>other major one time capital budgeted:</t>
  </si>
  <si>
    <t>Total Budgeted Deficit:</t>
  </si>
  <si>
    <t>Misc Insurance Claims</t>
  </si>
  <si>
    <t>note 4:  This is amounts above deductible and is 100% repaid by insurance payments</t>
  </si>
  <si>
    <t>09-10</t>
  </si>
  <si>
    <t>2009-10</t>
  </si>
  <si>
    <t>Athens Digital</t>
  </si>
  <si>
    <t>Translater</t>
  </si>
  <si>
    <t>Software Maint</t>
  </si>
  <si>
    <t>Sherirr/Tax Building</t>
  </si>
  <si>
    <t>Food/Concessions</t>
  </si>
  <si>
    <t>2009-2010</t>
  </si>
  <si>
    <t>Structure moving escort</t>
  </si>
  <si>
    <t>Elbert/Juv Judge</t>
  </si>
  <si>
    <t>08-09</t>
  </si>
  <si>
    <t>lowered coverage</t>
  </si>
  <si>
    <t>lowered coverage actual rate change was 11%</t>
  </si>
  <si>
    <t>FY10</t>
  </si>
  <si>
    <t>H606</t>
  </si>
  <si>
    <t>Court order 1/09-12/31/12</t>
  </si>
  <si>
    <t>see notes</t>
  </si>
  <si>
    <t>Judge supplement raised to $68,000 added part time judge at $17,000</t>
  </si>
  <si>
    <t>notes</t>
  </si>
  <si>
    <t>costs offset by State "grant" of $51,000, remaining costs shared by Elbert, Franklin, Oglethorpe and Madison Counties</t>
  </si>
  <si>
    <t>program moved to another county fy10 see 26000</t>
  </si>
  <si>
    <t>Note:  Hart County has managed this for the participating counties for 8 years.  Program is being moved to another county fy10 will result in lower cost to Hart</t>
  </si>
  <si>
    <t>elim line item fy10</t>
  </si>
  <si>
    <t>Court Equip Maint</t>
  </si>
  <si>
    <t>note 4:  equipment maintained by State now passed onto county to maintain</t>
  </si>
  <si>
    <t>note 1:  State charges for use of prison crew.  We applied and received exemption in FY05, 06,07, 08, 09 and 10</t>
  </si>
  <si>
    <t>Part Time Wages</t>
  </si>
  <si>
    <t>note 4: "speculation" means that at this point we do not know more firm numbers for insurance. Actual numbers become more concrete as fiscal year ends and new proposals received.</t>
  </si>
  <si>
    <t>note 5:FY09 $510,000 in wages paid from 203 insurance premium fund</t>
  </si>
  <si>
    <t>note 5:  We can reduce this by $6,000 if we decrease coverage to minimum required by law (see first draft discussion)</t>
  </si>
  <si>
    <t>note 6:  We can reduce this by an additional $6,000 by increasing the deductible (see first draft discussion)</t>
  </si>
  <si>
    <t>Note 3,5,6,7</t>
  </si>
  <si>
    <t>Federal Funding Eliminated 2008</t>
  </si>
  <si>
    <t>note 4;  Salary reduced by amount reimbursed by transit grant see 55400</t>
  </si>
  <si>
    <t>note 1,4</t>
  </si>
  <si>
    <t>note 3: FY09 reduced hours for cook from 30 hrs to 27.5 included in FY10 pay, pt wages pulled out FY10 from line 1100</t>
  </si>
  <si>
    <t>map plotter</t>
  </si>
  <si>
    <t>Rent Contract Reval Office space</t>
  </si>
  <si>
    <t>note 4:  contract reval lease expires april 2010</t>
  </si>
  <si>
    <t>ESRI Training</t>
  </si>
  <si>
    <t>note 3:  This is estimate for new term July 1, 2009- July 1,2010 can reduce this cost by changing coverage limits</t>
  </si>
  <si>
    <t>one time capital expense-may carry over to FY10</t>
  </si>
  <si>
    <t>08 Public Defender Bill</t>
  </si>
  <si>
    <t>shelving</t>
  </si>
  <si>
    <t>scanner</t>
  </si>
  <si>
    <t>GEMA Pre Disaster Mitigation Grant</t>
  </si>
  <si>
    <t>virus Software</t>
  </si>
  <si>
    <t>Copier</t>
  </si>
  <si>
    <t>Extra Wages Pres. Election</t>
  </si>
  <si>
    <t>courthouse</t>
  </si>
  <si>
    <t>note 3: cott replaced with wingap</t>
  </si>
  <si>
    <t>Ag Building HVAC</t>
  </si>
  <si>
    <t>courthouse HVAC</t>
  </si>
  <si>
    <t>BUDGET WORKSHEET FISCAL YEAR</t>
  </si>
  <si>
    <t>HART COUNTY GENERAL FUND</t>
  </si>
  <si>
    <t>ACTUAL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</si>
  <si>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</si>
  <si>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</si>
  <si>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</si>
  <si>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</si>
  <si>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</si>
  <si>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</si>
  <si>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</si>
  <si>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</si>
  <si>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</si>
  <si>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</si>
  <si>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INSURANCE PREMIUM TAX</t>
  </si>
  <si>
    <t>INT-DEL TAXES/PERSONAL</t>
  </si>
  <si>
    <t>EROSION CONTROL PERMIT</t>
  </si>
  <si>
    <t>ENVIRONMENTAL GRANT</t>
  </si>
  <si>
    <t>FOOD STAMPS</t>
  </si>
  <si>
    <t>EMA STATE GRANT</t>
  </si>
  <si>
    <t>REC PROGRAM INCOME</t>
  </si>
  <si>
    <t>DONATIONS/YOUTH FOOTBALL</t>
  </si>
  <si>
    <t xml:space="preserve"> </t>
  </si>
  <si>
    <t>FOOTBALL SPONSOR</t>
  </si>
  <si>
    <t>INVESTMENT/ECONOMIC DEVELOP</t>
  </si>
  <si>
    <t>DMS INTEREST/MAGISTRATE</t>
  </si>
  <si>
    <t>DONATIONS/CLEAN &amp; BEAUTIFUL</t>
  </si>
  <si>
    <t>INMATE TELEPHONE COMMISSIONS</t>
  </si>
  <si>
    <t>MISCELLANEOUS REVENUES</t>
  </si>
  <si>
    <t>SENIOR CENTER MEALS</t>
  </si>
  <si>
    <t>FICA EXPENSE/TAX COMMISSIONER</t>
  </si>
  <si>
    <t>ACTIVITY FEES</t>
  </si>
  <si>
    <t>PICTURES/REC DEPT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</si>
  <si>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</si>
  <si>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</si>
  <si>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</si>
  <si>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</si>
  <si>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</si>
  <si>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</si>
  <si>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</si>
  <si>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</si>
  <si>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</si>
  <si>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</si>
  <si>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</si>
  <si>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</si>
  <si>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</si>
  <si>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</si>
  <si>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</si>
  <si>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</si>
  <si>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</si>
  <si>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</si>
  <si>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</si>
  <si>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</si>
  <si>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</si>
  <si>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</si>
  <si>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Technical/Douglas software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</si>
  <si>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</si>
  <si>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</si>
  <si>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</si>
  <si>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</si>
  <si>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</si>
  <si>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</si>
  <si>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</si>
  <si>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</si>
  <si>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</si>
  <si>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</si>
  <si>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IKON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</si>
  <si>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</si>
  <si>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</si>
  <si>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</si>
  <si>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</si>
  <si>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</si>
  <si>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</si>
  <si>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</si>
  <si>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</si>
  <si>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</si>
  <si>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</si>
  <si>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</si>
  <si>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</si>
  <si>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</si>
  <si>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</si>
  <si>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</si>
  <si>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</si>
  <si>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</si>
  <si>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</si>
  <si>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</si>
  <si>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</si>
  <si>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</si>
  <si>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</si>
  <si>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</si>
  <si>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</si>
  <si>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</si>
  <si>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</si>
  <si>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</si>
  <si>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</si>
  <si>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</si>
  <si>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</si>
  <si>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</si>
  <si>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</si>
  <si>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</si>
  <si>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</si>
  <si>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</si>
  <si>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</si>
  <si>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</si>
  <si>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</si>
  <si>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</si>
  <si>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</si>
  <si>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Tech/IOS Capital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</si>
  <si>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</si>
  <si>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</si>
  <si>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</si>
  <si>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</si>
  <si>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</si>
  <si>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</si>
  <si>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</si>
  <si>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Jury script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</si>
  <si>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</si>
  <si>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</si>
  <si>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</si>
  <si>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</si>
  <si>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</si>
  <si>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</si>
  <si>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</si>
  <si>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</si>
  <si>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</si>
  <si>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</si>
  <si>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</si>
  <si>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</si>
  <si>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</si>
  <si>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</si>
  <si>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</si>
  <si>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</si>
  <si>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</si>
  <si>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</si>
  <si>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</si>
  <si>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</si>
  <si>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</si>
  <si>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</si>
  <si>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</si>
  <si>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</si>
  <si>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</si>
  <si>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</si>
  <si>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</si>
  <si>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</si>
  <si>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</si>
  <si>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</si>
  <si>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</si>
  <si>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</si>
  <si>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Technical/Douglas Software</t>
  </si>
  <si>
    <t>Site improvements</t>
  </si>
  <si>
    <t>Other supplies</t>
  </si>
  <si>
    <t>Capital/communication radios</t>
  </si>
  <si>
    <t>Highways &amp; Streets</t>
  </si>
  <si>
    <t>Bushhog R-O-W</t>
  </si>
  <si>
    <t>Misc road supplies</t>
  </si>
  <si>
    <t>Bldgs/grounds supplies</t>
  </si>
  <si>
    <t>Grader blades</t>
  </si>
  <si>
    <t>Machinery</t>
  </si>
  <si>
    <t>Dues/Membership</t>
  </si>
  <si>
    <t>Adopt-A-Highway Dinner</t>
  </si>
  <si>
    <t>Office Supplies</t>
  </si>
  <si>
    <t>Display Materials</t>
  </si>
  <si>
    <t>Adopt-A-Highway Signs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</si>
  <si>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</si>
  <si>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</si>
  <si>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</si>
  <si>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</si>
  <si>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</si>
  <si>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</si>
  <si>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</si>
  <si>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</si>
  <si>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</si>
  <si>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</si>
  <si>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</si>
  <si>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</si>
  <si>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</si>
  <si>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</si>
  <si>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</si>
  <si>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</si>
  <si>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North Georgia MH/MR/SA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</si>
  <si>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</si>
  <si>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</si>
  <si>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</si>
  <si>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</si>
  <si>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</si>
  <si>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</si>
  <si>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</si>
  <si>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</si>
  <si>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</si>
  <si>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</si>
  <si>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</si>
  <si>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</si>
  <si>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</si>
  <si>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</si>
  <si>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</si>
  <si>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</si>
  <si>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</si>
  <si>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</si>
  <si>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</si>
  <si>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</si>
  <si>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</si>
  <si>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</si>
  <si>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</si>
  <si>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</si>
  <si>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</si>
  <si>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</si>
  <si>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</si>
  <si>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</si>
  <si>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</si>
  <si>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</si>
  <si>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</si>
  <si>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</si>
  <si>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</si>
  <si>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</si>
  <si>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</si>
  <si>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</si>
  <si>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</si>
  <si>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</si>
  <si>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</si>
  <si>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</si>
  <si>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</si>
  <si>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</si>
  <si>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</si>
  <si>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Misc</t>
  </si>
  <si>
    <t>Capital/vehicle</t>
  </si>
  <si>
    <t xml:space="preserve">Misc  </t>
  </si>
  <si>
    <t>Contingency pymts</t>
  </si>
  <si>
    <t>Other financing/Ind Bldg Auth ***</t>
  </si>
  <si>
    <t>CDBG Grant Admin</t>
  </si>
  <si>
    <t>LAW ENFORCEM'T MINI-GRANT</t>
  </si>
  <si>
    <t>DONATIONS/SENIOR CENTER</t>
  </si>
  <si>
    <t>VOTER REGISTRATION LIST</t>
  </si>
  <si>
    <t>TRANSFER TO WATER &amp; SEWER</t>
  </si>
  <si>
    <t>RAFFLE TICKETS/REC</t>
  </si>
  <si>
    <t>Housekeeping</t>
  </si>
  <si>
    <t>Number of FT Authorized People</t>
  </si>
  <si>
    <t>Professional (Litigation)</t>
  </si>
  <si>
    <t>Auditor -General Fund</t>
  </si>
  <si>
    <t>Radios</t>
  </si>
  <si>
    <t>Admin</t>
  </si>
  <si>
    <t>Number of FT Employees</t>
  </si>
  <si>
    <t>TOTAL EXPENSES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</si>
  <si>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</si>
  <si>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</si>
  <si>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</si>
  <si>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</si>
  <si>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</si>
  <si>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</si>
  <si>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</si>
  <si>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</si>
  <si>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</si>
  <si>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</si>
  <si>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</si>
  <si>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</si>
  <si>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</si>
  <si>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</si>
  <si>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</si>
  <si>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</si>
  <si>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Pest</t>
  </si>
  <si>
    <t>Maintenance</t>
  </si>
  <si>
    <t>x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</si>
  <si>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</si>
  <si>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</si>
  <si>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</si>
  <si>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</si>
  <si>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</si>
  <si>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</si>
  <si>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</si>
  <si>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</si>
  <si>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</si>
  <si>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</si>
  <si>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</si>
  <si>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</si>
  <si>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</si>
  <si>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</si>
  <si>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</si>
  <si>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</si>
  <si>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</si>
  <si>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</si>
  <si>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</si>
  <si>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</si>
  <si>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</si>
  <si>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</si>
  <si>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</si>
  <si>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</si>
  <si>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</si>
  <si>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</si>
  <si>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</si>
  <si>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</si>
  <si>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</si>
  <si>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</si>
  <si>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</si>
  <si>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</si>
  <si>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</si>
  <si>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</si>
  <si>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</si>
  <si>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</si>
  <si>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</si>
  <si>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</si>
  <si>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</si>
  <si>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</si>
  <si>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</si>
  <si>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</si>
  <si>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</si>
  <si>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</t>
  </si>
  <si>
    <t>Alarm Monitoring</t>
  </si>
  <si>
    <t>OTHER FEES</t>
  </si>
  <si>
    <t>PROTECTIVE ARMOR  R=GRANT</t>
  </si>
  <si>
    <t>CLOSE OUT UMPIRE ACCOUNT</t>
  </si>
  <si>
    <t>OTHER CHARGES FOR SERVICES</t>
  </si>
  <si>
    <t>See Revenue Account 34.1120 for matching revenue</t>
  </si>
  <si>
    <t>EXPENSE SUMMARY</t>
  </si>
  <si>
    <t>REVENUES SUMMARY</t>
  </si>
  <si>
    <t>Elections 100.14000</t>
  </si>
  <si>
    <t>Board of Registrars  100.14100</t>
  </si>
  <si>
    <t>Executive (Board of Comm) 100.13000</t>
  </si>
  <si>
    <t>Approved</t>
  </si>
  <si>
    <t>School Resource Officer</t>
  </si>
  <si>
    <t>Replacement Registration</t>
  </si>
  <si>
    <t>Mth. Actual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</si>
  <si>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</si>
  <si>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</si>
  <si>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</si>
  <si>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</si>
  <si>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</si>
  <si>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</si>
  <si>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</si>
  <si>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</si>
  <si>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</si>
  <si>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</si>
  <si>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</si>
  <si>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</si>
  <si>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</si>
  <si>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</si>
  <si>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</si>
  <si>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</si>
  <si>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</si>
  <si>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</si>
  <si>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</si>
  <si>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</si>
  <si>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</si>
  <si>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</si>
  <si>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</si>
  <si>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</si>
  <si>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</si>
  <si>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</si>
  <si>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</si>
  <si>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</si>
  <si>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</si>
  <si>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</si>
  <si>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</si>
  <si>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</si>
  <si>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</si>
  <si>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100.26000 Juvenile Court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</si>
  <si>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</si>
  <si>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</si>
  <si>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</si>
  <si>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</si>
  <si>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</si>
  <si>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</si>
  <si>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</si>
  <si>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</si>
  <si>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</si>
  <si>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</si>
  <si>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</si>
  <si>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</si>
  <si>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100.41000 Public Works</t>
  </si>
  <si>
    <t>Proj.</t>
  </si>
  <si>
    <t>100.42000.Highways &amp; Streets</t>
  </si>
  <si>
    <t>100.44100.Water &amp; Sewer Auth.</t>
  </si>
  <si>
    <t>100.45410.Clean &amp; Beautiful</t>
  </si>
  <si>
    <t>100.49000.Maint. Shop</t>
  </si>
  <si>
    <t>100.51000.Health Dept</t>
  </si>
  <si>
    <t>100.54000.Welfare/DFACS</t>
  </si>
  <si>
    <t>100.55200.Senior Center</t>
  </si>
  <si>
    <t>100.61000.Recreation</t>
  </si>
  <si>
    <t>100.61900.HYDRA</t>
  </si>
  <si>
    <t>100.65100.Library Administration</t>
  </si>
  <si>
    <t>100.71300.Agricultural Resources</t>
  </si>
  <si>
    <t>100.71400.Forest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</si>
  <si>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</si>
  <si>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</si>
  <si>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</si>
  <si>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</si>
  <si>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</si>
  <si>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</si>
  <si>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FY'02</t>
  </si>
  <si>
    <t>$ Change</t>
  </si>
  <si>
    <t>% Change</t>
  </si>
  <si>
    <t>Health Insurance</t>
  </si>
  <si>
    <t>Vision Insurance</t>
  </si>
  <si>
    <t>Dis/Accid Death</t>
  </si>
  <si>
    <t>total monthly</t>
  </si>
  <si>
    <t>Board of Assessors</t>
  </si>
  <si>
    <t>FY'04</t>
  </si>
  <si>
    <t>Liability insurance/general</t>
  </si>
  <si>
    <t>%</t>
  </si>
  <si>
    <t>GOHS</t>
  </si>
  <si>
    <t>Water and Sewer Utility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</si>
  <si>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</si>
  <si>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</si>
  <si>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</si>
  <si>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</si>
  <si>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</si>
  <si>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</si>
  <si>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</si>
  <si>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</si>
  <si>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</si>
  <si>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</si>
  <si>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</si>
  <si>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</si>
  <si>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</si>
  <si>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</si>
  <si>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GOHS Grant</t>
  </si>
  <si>
    <t>Hangar Expansion</t>
  </si>
  <si>
    <t>Paving Grant</t>
  </si>
  <si>
    <t>Fire Defib Grant</t>
  </si>
  <si>
    <t>Youth Softball Fees</t>
  </si>
  <si>
    <t>Other Rec Fees</t>
  </si>
  <si>
    <t>Op. Trans Fund in</t>
  </si>
  <si>
    <t>Cap leases</t>
  </si>
  <si>
    <t>Building Permit Fee</t>
  </si>
  <si>
    <t>Planning &amp; Dev Fee/chgs</t>
  </si>
  <si>
    <t>Approve</t>
  </si>
  <si>
    <t>Dept.</t>
  </si>
  <si>
    <t>Comm</t>
  </si>
  <si>
    <t xml:space="preserve">Admin. </t>
  </si>
  <si>
    <t xml:space="preserve">Cuts fr. </t>
  </si>
  <si>
    <t>dpt. Req.</t>
  </si>
  <si>
    <t xml:space="preserve"> Cuts fr.</t>
  </si>
  <si>
    <t>Board</t>
  </si>
  <si>
    <t xml:space="preserve"> Cuts</t>
  </si>
  <si>
    <t>Certification Fees</t>
  </si>
  <si>
    <t>Dues/Membership ACCG</t>
  </si>
  <si>
    <t>note1</t>
  </si>
  <si>
    <t>FY'03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</si>
  <si>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</si>
  <si>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</si>
  <si>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</si>
  <si>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</si>
  <si>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% of</t>
  </si>
  <si>
    <t>Real &amp; Person. Prior Year</t>
  </si>
  <si>
    <t>Mobile Home- Prior Year</t>
  </si>
  <si>
    <t>Railroad Equipment</t>
  </si>
  <si>
    <t>Comm.</t>
  </si>
  <si>
    <t>Other Revenues</t>
  </si>
  <si>
    <t>Mail Fees</t>
  </si>
  <si>
    <t>Return Check Fees</t>
  </si>
  <si>
    <t>Bank Account Interest</t>
  </si>
  <si>
    <t>Commissions</t>
  </si>
  <si>
    <t>Tag &amp; Title Agents fee</t>
  </si>
  <si>
    <t>In Jail GF and 204 account</t>
  </si>
  <si>
    <t xml:space="preserve">will not get if remove this fee </t>
  </si>
  <si>
    <t>See Rev. 35.1150</t>
  </si>
  <si>
    <t>Sale of Assets</t>
  </si>
  <si>
    <t>Office Domes Preparedness</t>
  </si>
  <si>
    <t xml:space="preserve">other equip </t>
  </si>
  <si>
    <t>computers</t>
  </si>
  <si>
    <t>Ed &amp; train</t>
  </si>
  <si>
    <t>has rev.</t>
  </si>
  <si>
    <t>trailer for trash</t>
  </si>
  <si>
    <t>van for trash</t>
  </si>
  <si>
    <t>Comm/radios</t>
  </si>
  <si>
    <t>Part repair</t>
  </si>
  <si>
    <t>Oil &amp; petroleum</t>
  </si>
  <si>
    <t>Security</t>
  </si>
  <si>
    <t>in 10000 acct.</t>
  </si>
  <si>
    <t>Litigation</t>
  </si>
  <si>
    <t>Repayment of Tax Commissioner Fees</t>
  </si>
  <si>
    <t>Property not on digest</t>
  </si>
  <si>
    <t>juv justice expenses</t>
  </si>
  <si>
    <t>small equipment</t>
  </si>
  <si>
    <t>see 204 acct. also</t>
  </si>
  <si>
    <t>oil &amp; petroleum</t>
  </si>
  <si>
    <t>outside labor</t>
  </si>
  <si>
    <t>grant homeland security</t>
  </si>
  <si>
    <t>education &amp; training</t>
  </si>
  <si>
    <t>note 4</t>
  </si>
  <si>
    <t>Increases through years</t>
  </si>
  <si>
    <t>WC</t>
  </si>
  <si>
    <t>Liability/general</t>
  </si>
  <si>
    <t>Ave</t>
  </si>
  <si>
    <t>FY03</t>
  </si>
  <si>
    <t>FY04</t>
  </si>
  <si>
    <t>note 5</t>
  </si>
  <si>
    <t>Replace 4 BP monitors</t>
  </si>
  <si>
    <t>replace 4 portable suctions</t>
  </si>
  <si>
    <t>replace 2 laptops</t>
  </si>
  <si>
    <t>Fire alarm admin building</t>
  </si>
  <si>
    <t>No request submitted yet</t>
  </si>
  <si>
    <t>Revenues less Expenses Final</t>
  </si>
  <si>
    <t>note 2: volunteer recognition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</si>
  <si>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</si>
  <si>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</si>
  <si>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</si>
  <si>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</si>
  <si>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</si>
  <si>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Every two years the Grand Jury is revised</t>
  </si>
  <si>
    <t>for tourn.</t>
  </si>
  <si>
    <t>revenue generator</t>
  </si>
  <si>
    <t>Ga bioterrorism</t>
  </si>
  <si>
    <t xml:space="preserve">Juvenile </t>
  </si>
  <si>
    <t>Drink Machine Revenues</t>
  </si>
  <si>
    <t>Gas/ misc detention center</t>
  </si>
  <si>
    <t>Note 2:  See vehicle replacement schedule (5 year plan), replace vehicles over 200,000 miles</t>
  </si>
  <si>
    <t>FY05</t>
  </si>
  <si>
    <t>FY'05</t>
  </si>
  <si>
    <t>(H502)</t>
  </si>
  <si>
    <t>Sheriff Fees-Add to 34.2910</t>
  </si>
  <si>
    <t>Maintenance/Stretchers</t>
  </si>
  <si>
    <t>Revs:33.1260  DOT reimb</t>
  </si>
  <si>
    <t>Revs: 34.5510  Transit fees</t>
  </si>
  <si>
    <t>ADMINISTRATOR</t>
  </si>
  <si>
    <t>COMMISSION</t>
  </si>
  <si>
    <t>04-05</t>
  </si>
  <si>
    <t>increase in grand jury pay by $10/day each position ($6,000 increase)</t>
  </si>
  <si>
    <t>to match audit</t>
  </si>
  <si>
    <t>Senior center rental</t>
  </si>
  <si>
    <t>Dues RC&amp;D</t>
  </si>
  <si>
    <t>misc</t>
  </si>
  <si>
    <t>Van driver DFACs</t>
  </si>
  <si>
    <t>T English Scholarship</t>
  </si>
  <si>
    <t>sun.tax ad fees</t>
  </si>
  <si>
    <t>Hur. Francis Grant</t>
  </si>
  <si>
    <t>EMS HSRA Grant</t>
  </si>
  <si>
    <t>Probation Fee</t>
  </si>
  <si>
    <t>Homeowner Tax Relief Grant</t>
  </si>
  <si>
    <t>Batt Women Shelter Insurance Payment</t>
  </si>
  <si>
    <t>Municode (internet code of ord)</t>
  </si>
  <si>
    <t>Architect</t>
  </si>
  <si>
    <t>RDC Meal</t>
  </si>
  <si>
    <t>Will be cut in half due to State Law limited amount that can be charged</t>
  </si>
  <si>
    <t>Batt Women Shelter</t>
  </si>
  <si>
    <t>temp employees</t>
  </si>
  <si>
    <t>copier</t>
  </si>
  <si>
    <t>Jury Script (BOE)</t>
  </si>
  <si>
    <t>prior to 06 paid from account 27000</t>
  </si>
  <si>
    <t>contract buyout (deputy)</t>
  </si>
  <si>
    <t>radar unit</t>
  </si>
  <si>
    <t>see revenue 38.9053 ($0.10 per gallon surcharge charged to our cost)</t>
  </si>
  <si>
    <t>coroners inquest</t>
  </si>
  <si>
    <t>communications tower</t>
  </si>
  <si>
    <t>HSRA Grant</t>
  </si>
  <si>
    <t>04 Missed Payment</t>
  </si>
  <si>
    <t>Revenues less Expenses Admin</t>
  </si>
  <si>
    <t xml:space="preserve">note 2: </t>
  </si>
  <si>
    <t>Water Authority expenses are no longer included in these line items.  Water authority is billed for 25% of these costs</t>
  </si>
  <si>
    <t>Fund Balance Transfer</t>
  </si>
  <si>
    <t>Runway Extension</t>
  </si>
  <si>
    <t>note 1: suggest supplementing budget during the year when grants are received?  Need more information</t>
  </si>
  <si>
    <t>meeting room cushions</t>
  </si>
  <si>
    <t>courthouse security</t>
  </si>
  <si>
    <t>voting machines</t>
  </si>
  <si>
    <t>Note 4: Mail Fees Rev:</t>
  </si>
  <si>
    <t>Clerk of Court Recording Fee-FIFA</t>
  </si>
  <si>
    <t>02-03</t>
  </si>
  <si>
    <t>03-04</t>
  </si>
  <si>
    <t>Historical Change:</t>
  </si>
  <si>
    <t>Spanish Speaking Interpreter</t>
  </si>
  <si>
    <t>fee for transporting bodies to crime lab</t>
  </si>
  <si>
    <t>computer</t>
  </si>
  <si>
    <t>capital</t>
  </si>
  <si>
    <t>replace cardiac monitors</t>
  </si>
  <si>
    <t>Day room furniture</t>
  </si>
  <si>
    <t>Maint/ICON</t>
  </si>
  <si>
    <t>Technical/GTA</t>
  </si>
  <si>
    <t>Part time employees</t>
  </si>
  <si>
    <t>note 4: 06 started separate line item for this budget item.  06 budget is same as 05, 05 was included in reg wages</t>
  </si>
  <si>
    <t>OPD Grant</t>
  </si>
  <si>
    <t>note 2: see audit and other information, note taxation based on participation of operating expenses</t>
  </si>
  <si>
    <t>part time</t>
  </si>
  <si>
    <t>also for tourn.</t>
  </si>
  <si>
    <t>rec % ovr</t>
  </si>
  <si>
    <t>prior yr</t>
  </si>
  <si>
    <t>tax sale</t>
  </si>
  <si>
    <t>Part Time wages</t>
  </si>
  <si>
    <t>City of Hartwell Parking Lot</t>
  </si>
  <si>
    <t>Used Vehicle Purchase</t>
  </si>
  <si>
    <t xml:space="preserve">  </t>
  </si>
  <si>
    <t>Economic Developer- full time</t>
  </si>
  <si>
    <t>Revenue Growth</t>
  </si>
  <si>
    <t>Wages</t>
  </si>
  <si>
    <t>Professional (General)</t>
  </si>
  <si>
    <t>Workers Compensation</t>
  </si>
  <si>
    <t>Library 04 payment</t>
  </si>
  <si>
    <t>laser grade 3 fields, senior, minor, little league</t>
  </si>
  <si>
    <t>Rec.</t>
  </si>
  <si>
    <t>Tires and Tubes or batteries</t>
  </si>
  <si>
    <t>Maintenance Contract/Gasboy</t>
  </si>
  <si>
    <t>100.28110 Misdemeanor Probation</t>
  </si>
  <si>
    <t>Misdemeanor Probation</t>
  </si>
  <si>
    <t>Technical-GCIC</t>
  </si>
  <si>
    <t>Witness subpoena</t>
  </si>
  <si>
    <t>Oglethorp/ juvinile court</t>
  </si>
  <si>
    <t>note 1: state law 50-8-33 (b) (1) requires that dues be paid only from unincorporated funds therefore admin rec. these be paid for in 203 account</t>
  </si>
  <si>
    <t>100.15600 Internal Audit</t>
  </si>
  <si>
    <t>Oil &amp; Other Petroleum</t>
  </si>
  <si>
    <t>Voting Grant</t>
  </si>
  <si>
    <t>INV SALES/OFFICE SUPPLIES</t>
  </si>
  <si>
    <t>Intangibles Reg &amp; record</t>
  </si>
  <si>
    <t>live scan grant</t>
  </si>
  <si>
    <t>State Charge for Prison Detail</t>
  </si>
  <si>
    <t>NEGA Animal Shelter</t>
  </si>
  <si>
    <t>wages</t>
  </si>
  <si>
    <t>O &amp; M Expenses</t>
  </si>
  <si>
    <t>Indigent Burial</t>
  </si>
  <si>
    <t>rev. for grant 52.2214</t>
  </si>
  <si>
    <t>Auditor</t>
  </si>
  <si>
    <t>GA Forestry</t>
  </si>
  <si>
    <t>Terminal Expansion</t>
  </si>
  <si>
    <t>Ninth Dist. Opportunity</t>
  </si>
  <si>
    <t>Assessment Penalty</t>
  </si>
  <si>
    <t>Juvenile Judge Supplement</t>
  </si>
  <si>
    <t xml:space="preserve">software </t>
  </si>
  <si>
    <t xml:space="preserve">Real &amp; Person. Current Year </t>
  </si>
  <si>
    <t xml:space="preserve">Timber--Current Year </t>
  </si>
  <si>
    <t xml:space="preserve">Motor Vehicle- Current Year </t>
  </si>
  <si>
    <t xml:space="preserve">Mobile Home- Current Year </t>
  </si>
  <si>
    <t>Pen-Deli taxes/real property</t>
  </si>
  <si>
    <t>FY06</t>
  </si>
  <si>
    <t>capital match with Library Board</t>
  </si>
  <si>
    <t>Finger print device grant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</si>
  <si>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</si>
  <si>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</si>
  <si>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</si>
  <si>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</si>
  <si>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</si>
  <si>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</si>
  <si>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</si>
  <si>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Transit Services</t>
  </si>
  <si>
    <t>Tax sale/attorney fees</t>
  </si>
  <si>
    <t>C/D Long Term Investments</t>
  </si>
  <si>
    <t>Lightning Strike-Insurance Reimbursement</t>
  </si>
  <si>
    <t>Lightning Strike 2-Insurance Reimbursement</t>
  </si>
  <si>
    <t>Drug &amp; Alcohol Counseling</t>
  </si>
  <si>
    <t>Unemployment Insurance</t>
  </si>
  <si>
    <t>Marketing Svc</t>
  </si>
  <si>
    <t>note 3: temp employee for doc mgt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</si>
  <si>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</si>
  <si>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</si>
  <si>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</si>
  <si>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</si>
  <si>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</si>
  <si>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</si>
  <si>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</si>
  <si>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</si>
  <si>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PROGRAM NO LONGER RECEIVING GF FUNDING</t>
  </si>
  <si>
    <t>Supplemental funding- Heating Assistance</t>
  </si>
  <si>
    <t>Van Drivers DFACs grant</t>
  </si>
  <si>
    <t>66% payroll</t>
  </si>
  <si>
    <t>Mold Remediation Library</t>
  </si>
  <si>
    <t>Roof Replacement</t>
  </si>
  <si>
    <t>05-06</t>
  </si>
  <si>
    <t>Proposed FY07</t>
  </si>
  <si>
    <t>FY07</t>
  </si>
  <si>
    <t>FY'06</t>
  </si>
  <si>
    <t>Admin. Cuts fr. Prior year bud.</t>
  </si>
  <si>
    <t>Dispatcher Salary</t>
  </si>
  <si>
    <t>Supervisor Salary</t>
  </si>
  <si>
    <t>Audit</t>
  </si>
  <si>
    <t>note 1: DOT reimbursements, creating separate line items for  DOT reimbursement, these are not new charges, some from other depts</t>
  </si>
  <si>
    <t>Vehicle Insurance</t>
  </si>
  <si>
    <t>Wages-Regular Employees</t>
  </si>
  <si>
    <t>Wages-Temporary Employees</t>
  </si>
  <si>
    <t>Education and training</t>
  </si>
  <si>
    <t>storage rental</t>
  </si>
  <si>
    <t>Note 2 FY06</t>
  </si>
  <si>
    <t>Part Time Employees</t>
  </si>
  <si>
    <t>Wages-full time</t>
  </si>
  <si>
    <t>in line 54.2550</t>
  </si>
  <si>
    <t>note 1: OT is worse case scenario</t>
  </si>
  <si>
    <t>Note 2: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</si>
  <si>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</si>
  <si>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</si>
  <si>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</si>
  <si>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</si>
  <si>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</si>
  <si>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</si>
  <si>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note 2;  10% cost of scheduled vehicle replacement 2325, 90% state funded, actual cost may be more or less look at FY08</t>
  </si>
  <si>
    <t>Automobile</t>
  </si>
  <si>
    <t>move to 203?</t>
  </si>
  <si>
    <t>Revenue 34.2600</t>
  </si>
  <si>
    <t>Job Incentive Pay</t>
  </si>
  <si>
    <t>note 5: Requires equal contribution from Franklin &amp; Stephens Counties</t>
  </si>
  <si>
    <t>note 2: Criminal Justice Software</t>
  </si>
  <si>
    <t>(H503)</t>
  </si>
  <si>
    <t>FY'07</t>
  </si>
  <si>
    <t>note 2 software, website, virus protection (all county departments)</t>
  </si>
  <si>
    <t>Sex Offender Regisrtry Website</t>
  </si>
  <si>
    <t>req by law</t>
  </si>
  <si>
    <t>Express Poll Machines</t>
  </si>
  <si>
    <t>Cott/wingapp</t>
  </si>
  <si>
    <t>NACO</t>
  </si>
  <si>
    <t>Library Reconstruction Grant</t>
  </si>
  <si>
    <t>Library Reconstruction</t>
  </si>
  <si>
    <t>LOST</t>
  </si>
  <si>
    <t>2007-08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</si>
  <si>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</si>
  <si>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</si>
  <si>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</si>
  <si>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</si>
  <si>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</si>
  <si>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</si>
  <si>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</si>
  <si>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funding eliminated</t>
  </si>
  <si>
    <t>federal funds eliminated 2008 funds position turned into part time so no additional local funding needed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</si>
  <si>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</si>
  <si>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</si>
  <si>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</si>
  <si>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</si>
  <si>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</si>
  <si>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</si>
  <si>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</si>
  <si>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one time capital expense-finished FY07</t>
  </si>
  <si>
    <t>Inmate Social Security</t>
  </si>
  <si>
    <t>Rents/royaltees</t>
  </si>
  <si>
    <t>batteries</t>
  </si>
  <si>
    <t>speculation</t>
  </si>
  <si>
    <t>Library Carpet</t>
  </si>
  <si>
    <t xml:space="preserve"> pr yr bud.</t>
  </si>
  <si>
    <t>speculative</t>
  </si>
  <si>
    <t>one time capital</t>
  </si>
  <si>
    <t>note: "speculation" means that at this point we do not know more firm numbers for insurance. Actual numbers become more concrete as fiscal year ends and new proposals received.</t>
  </si>
  <si>
    <t>Auditor -GASB34</t>
  </si>
  <si>
    <t>Budget on hold pending replacement of Public works director and/or environmental enforcement officer</t>
  </si>
  <si>
    <t>vehicle</t>
  </si>
  <si>
    <t>Website Services</t>
  </si>
  <si>
    <t>Repairs &amp; Maint</t>
  </si>
  <si>
    <t>Rent IBA</t>
  </si>
  <si>
    <t>Other Prof. Services</t>
  </si>
  <si>
    <t>Economic Developer</t>
  </si>
  <si>
    <t>note 5: certification for sheriffs education is more extensive by state mandate starting in FY08/09</t>
  </si>
  <si>
    <t>rev pays for actual expense</t>
  </si>
  <si>
    <t>MPRF O&amp;M</t>
  </si>
  <si>
    <t>Building Maintenance</t>
  </si>
  <si>
    <t>06-07</t>
  </si>
  <si>
    <t>Hart Haven house maintenance</t>
  </si>
  <si>
    <t>note 1: in house personnel have reduced the cost for this line item</t>
  </si>
  <si>
    <t>Copier Maint</t>
  </si>
  <si>
    <t>overall note:  actual expenditures may vary depending on jail population and costs for repairs and maint</t>
  </si>
  <si>
    <t>Patient Reporting Software</t>
  </si>
  <si>
    <t>note 2:DSL for CH in here, also includes 3 cell phones</t>
  </si>
  <si>
    <t>website maint</t>
  </si>
  <si>
    <t>Uniforms</t>
  </si>
  <si>
    <t>Fire proof cabinets</t>
  </si>
  <si>
    <t>note 1: includes State COLA for tax comm.</t>
  </si>
  <si>
    <t>Lateral file cabinets</t>
  </si>
  <si>
    <t>admin</t>
  </si>
  <si>
    <t>final</t>
  </si>
  <si>
    <t>BOA Mapping Project</t>
  </si>
  <si>
    <t>Tourism Personnel</t>
  </si>
  <si>
    <t xml:space="preserve">   only one vehicle required in Fy08, however 17 may be needed over five year planning period, recommend waiting until mid 08 to decide capital purchase please see narrative</t>
  </si>
  <si>
    <t>Substation</t>
  </si>
  <si>
    <t>Sheriff/Tax Buildings</t>
  </si>
  <si>
    <t>Admin Building Roof</t>
  </si>
  <si>
    <t>Pandemic Flu Grant</t>
  </si>
  <si>
    <t>Maintenance cardiac monitors</t>
  </si>
  <si>
    <t>note 3; summer paving months increase overtime needs, not completely shown in actuals to date</t>
  </si>
  <si>
    <t>Hotel/Motel Tax</t>
  </si>
  <si>
    <t>Heavy Equipment</t>
  </si>
  <si>
    <t>one time capital expense</t>
  </si>
  <si>
    <t>2008-09</t>
  </si>
  <si>
    <t>Ins/ Deductible</t>
  </si>
  <si>
    <t>DA Building Security</t>
  </si>
  <si>
    <t>Criminal Jusitce/ Magis</t>
  </si>
  <si>
    <t>Animal Shelter Study</t>
  </si>
  <si>
    <t xml:space="preserve">PTO </t>
  </si>
  <si>
    <t>(H504)</t>
  </si>
  <si>
    <t>07-08</t>
  </si>
  <si>
    <t>move to 27500 Fy09</t>
  </si>
  <si>
    <t>Law Library 27500</t>
  </si>
  <si>
    <t>see state law 36-15-7</t>
  </si>
  <si>
    <t>Maint of Ordinance Codification</t>
  </si>
  <si>
    <t>Law Library</t>
  </si>
  <si>
    <t>FY09</t>
  </si>
  <si>
    <t>FY'08</t>
  </si>
  <si>
    <t>FY'09</t>
  </si>
  <si>
    <t>FY09 Remain Liab Ins.</t>
  </si>
  <si>
    <t>FY10 Liability/general</t>
  </si>
  <si>
    <t>Note 1: ACCG changed term of policy from Oct 1 to July 1, this amount is remaining 9 months for term beginning July 1, 2008 ending July 1, 2009</t>
  </si>
  <si>
    <t>FY08</t>
  </si>
  <si>
    <t>Alchohol Excise Tax</t>
  </si>
  <si>
    <t>Financial Institutions Tax</t>
  </si>
  <si>
    <t>Penalties and Interest General Prop</t>
  </si>
  <si>
    <t>Penalties Deliquent Property</t>
  </si>
  <si>
    <t>Penalties Deliquent Personal</t>
  </si>
  <si>
    <t>Late Tag Penalty</t>
  </si>
  <si>
    <t xml:space="preserve">Soil Technician Grant </t>
  </si>
  <si>
    <t>Real Estate Transfer Fee</t>
  </si>
  <si>
    <t>Comcast Cable Franchise Fee</t>
  </si>
  <si>
    <t>Northland Cable Franchise Fee</t>
  </si>
  <si>
    <t>Depot Street Cable Franchise Fee</t>
  </si>
  <si>
    <t>Hart Cable Franchise Fee</t>
  </si>
  <si>
    <t>Carnesville cable Franchise Fee</t>
  </si>
  <si>
    <t>Penalties &amp; Interest-FIFA</t>
  </si>
  <si>
    <t>Alcohol Beverage Lic. Fee</t>
  </si>
  <si>
    <t>Mobile Home Permit Fee</t>
  </si>
  <si>
    <t>Flood Control Grant</t>
  </si>
  <si>
    <t>Federal Payment in Lieu of Taxes</t>
  </si>
  <si>
    <t>Juvenile Justice Grant</t>
  </si>
  <si>
    <t>Soil Technician Assistance Grant</t>
  </si>
  <si>
    <t>EMA State Grant</t>
  </si>
  <si>
    <t>Real Estate Deed Images Fee</t>
  </si>
  <si>
    <t>Elections Qualifying Fee</t>
  </si>
  <si>
    <t>Sale of Maps</t>
  </si>
  <si>
    <t>Copies Fee</t>
  </si>
  <si>
    <t>Prisoner Housing Fee</t>
  </si>
  <si>
    <t>Park Patrol</t>
  </si>
  <si>
    <t>Ambulance Fees</t>
  </si>
  <si>
    <t>Sheriff Office Fees</t>
  </si>
  <si>
    <t>Transit Passenger Fees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</si>
  <si>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</si>
  <si>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</si>
  <si>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</si>
  <si>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</si>
  <si>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</si>
  <si>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</si>
  <si>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</si>
  <si>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</si>
  <si>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</si>
  <si>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</si>
  <si>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</si>
  <si>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</si>
  <si>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</si>
  <si>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Superior Court Fines</t>
  </si>
  <si>
    <t>Magistrate Court Fines</t>
  </si>
  <si>
    <t>Probate Court Fines</t>
  </si>
  <si>
    <t>Interest (General)</t>
  </si>
  <si>
    <t>GF Investment Interest\</t>
  </si>
  <si>
    <t>1% LOST Investment Interest</t>
  </si>
  <si>
    <t>EMS Donations</t>
  </si>
  <si>
    <t>Senior Center Donations</t>
  </si>
  <si>
    <t>Rec Dept Donations</t>
  </si>
  <si>
    <t>Reimbursement for Damaged Property</t>
  </si>
  <si>
    <t>Misc Revenues</t>
  </si>
  <si>
    <t>Snr. Center Meals Income</t>
  </si>
  <si>
    <t>HB182 Juvenile Judge Reimbursement</t>
  </si>
  <si>
    <t>Detention center fuel charge</t>
  </si>
  <si>
    <t>Franklin County DA reimbursement</t>
  </si>
  <si>
    <t>Oglethorpe County DA reimbursement</t>
  </si>
  <si>
    <t>Madison County Judicial Reimbursment</t>
  </si>
  <si>
    <t>Oglethorpe County Judicial Reimbursment</t>
  </si>
  <si>
    <t>Op. Trans Out</t>
  </si>
  <si>
    <t>Health insurance</t>
  </si>
  <si>
    <t>Archway Grant Local Contribution</t>
  </si>
  <si>
    <t>rev 35.1130</t>
  </si>
  <si>
    <t>program ended</t>
  </si>
  <si>
    <t>BOE was paid out of Jury Script line item.  moved BOE pay to BOE account fy06</t>
  </si>
  <si>
    <t>note 1:  substation added additional personnel costs to this line item 08</t>
  </si>
  <si>
    <t>combined w/parts</t>
  </si>
  <si>
    <t>note 1;  additional mechanic added in FY07 but not yet put on staff</t>
  </si>
  <si>
    <t>REVENUES</t>
  </si>
  <si>
    <t>note 3: depends on participate #'s. Revenue generator</t>
  </si>
  <si>
    <t>Fire Arm Permits</t>
  </si>
  <si>
    <t>WSUA Ultils &amp; misc</t>
  </si>
  <si>
    <t>vict assist prog reimburse</t>
  </si>
  <si>
    <t>Hart State Park Cabin Reimbursement</t>
  </si>
  <si>
    <t>not a budget revenue</t>
  </si>
  <si>
    <t>Custodial/ Health Dept</t>
  </si>
  <si>
    <t>Christmas Tree</t>
  </si>
  <si>
    <t>Virus Software</t>
  </si>
  <si>
    <t>Virus Protection</t>
  </si>
  <si>
    <t>virus software</t>
  </si>
  <si>
    <t>Part time</t>
  </si>
  <si>
    <t>This is a one time capital match and not to be considered a part of local funding level as described by PLS-6-2-f-1</t>
  </si>
  <si>
    <t>Crim. Justice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</si>
  <si>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</si>
  <si>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</si>
  <si>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</si>
  <si>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</si>
  <si>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</si>
  <si>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</si>
  <si>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</si>
  <si>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note 1:state cola for probate judge included</t>
  </si>
  <si>
    <t>note 1:  State COLA for Magistrates included</t>
  </si>
  <si>
    <t>Hart State Park Cabin</t>
  </si>
  <si>
    <t>note 1:  State Grant Pays 100% of this cost</t>
  </si>
  <si>
    <t xml:space="preserve">note: gov campus actual budget needs FY09 depends on what remains from FY08 </t>
  </si>
  <si>
    <t>public defender 06 missed</t>
  </si>
  <si>
    <t>DFACs Van Replacement</t>
  </si>
  <si>
    <t>Foster Care Projgram</t>
  </si>
  <si>
    <t>note 1 hours cut 10% in FY09</t>
  </si>
  <si>
    <t>note 3 charged to the departments starting in FY08</t>
  </si>
  <si>
    <t>note 4: copier under warranty FY08</t>
  </si>
  <si>
    <t>Original Budget $50,000 see note 5</t>
  </si>
  <si>
    <t>note 5:  Line item reduced by 50% in FY09 as part of cost cutting mearues</t>
  </si>
  <si>
    <t>note 3;  Grand Jury presentments required by law to be put in newspaper.  Twice per year at $800 per time</t>
  </si>
  <si>
    <t>program dead</t>
  </si>
  <si>
    <t>PROGRAM ENDED</t>
  </si>
  <si>
    <t>note 1: program ended see 38.9051 rev.</t>
  </si>
  <si>
    <t>NEED COPY OF AUDIT fOR 57.1020</t>
  </si>
  <si>
    <t>Note 1:  This agency needs to use their unreserved fund balance, they are accumuluting cash reserves</t>
  </si>
  <si>
    <t xml:space="preserve">Note 1:  Fund balance grew by $2,776 acc. to audit end 6/30/08, therefore $3,000 budget cut should have balanced this </t>
  </si>
  <si>
    <t>note 2: does not include run-off.  Will need to budget for this if run off needed, see dept. budget request</t>
  </si>
  <si>
    <t>Extra Wages/fica city Election</t>
  </si>
  <si>
    <t>Extra Pay for Provissional Ballot Count</t>
  </si>
  <si>
    <t>Extra Pay for July Primary</t>
  </si>
  <si>
    <t>Extra Pay for Aug. Runoff</t>
  </si>
  <si>
    <t>note 1: BOC reduced hours to 21.5 per week in FY09 continued in FY10, Dept. Requests full time position</t>
  </si>
  <si>
    <t>PO Box Rental</t>
  </si>
  <si>
    <t>one time capital, need more info</t>
  </si>
  <si>
    <t>note 1: Dept. requested vacant position be filled</t>
  </si>
  <si>
    <t>note 1,5</t>
  </si>
  <si>
    <t>note 1, 5</t>
  </si>
  <si>
    <t>note 5:  one full time position on hold for FY09 left on hold for FY10</t>
  </si>
  <si>
    <t>note 1,5,6</t>
  </si>
  <si>
    <t xml:space="preserve">note6: "speculation" means that at this point we do not know more firm numbers for insurance. Actual numbers become more concrete when new policy received first quarter of next fiscal year </t>
  </si>
  <si>
    <t>note7:  expected large number of appeals from contract revaluation</t>
  </si>
  <si>
    <t>PO Box</t>
  </si>
  <si>
    <t>Maint dup products</t>
  </si>
  <si>
    <t>Scan plats</t>
  </si>
  <si>
    <t>FY10 &amp; 11 expect a lot of appeals from contrct reval, will probably need to revisit this budget mid fiscal year</t>
  </si>
  <si>
    <t>Note 1:</t>
  </si>
  <si>
    <t>Requests car port for parking van out of weather</t>
  </si>
  <si>
    <t>NO AUDIT SUBMITTED, DFACs STATES THAT NO AUDIT EXISTS</t>
  </si>
  <si>
    <t>note 1: FY09 reduced salary for director to half included in FY10 draft 1</t>
  </si>
  <si>
    <t>note 2, 3</t>
  </si>
  <si>
    <t>Note 3:  funding reccomendation matches Franklin Counties Contribution</t>
  </si>
  <si>
    <t>note 2:  see long range EMS capital replacement plan, postponing one year will require three vehicles in FY11</t>
  </si>
  <si>
    <t>AWOS</t>
  </si>
  <si>
    <t>Beacon</t>
  </si>
  <si>
    <t>NEED A COPY OF AUDIT</t>
  </si>
  <si>
    <t>note 6: Rent paid for Ec. Dev. is paid to COC, This agency needs to use their unreserved fund balance, they are accumuluting cash reserves</t>
  </si>
  <si>
    <t>program eliminated</t>
  </si>
  <si>
    <t>POSTAGE MACHINE RENTAL AT $75 PER MONTH?</t>
  </si>
  <si>
    <t>none for fy10</t>
  </si>
  <si>
    <t>REVISED FOR DRAFT 2- BOC TENTATIVELY APPROVED CONTRACT FY10</t>
  </si>
  <si>
    <t>note2</t>
  </si>
  <si>
    <t>note 3: sb 199 suspends training requirements</t>
  </si>
  <si>
    <t>note 2;  BOC approved sending half the office to savanah for training FY09 and then other half FY10</t>
  </si>
  <si>
    <t>Special Court Project</t>
  </si>
  <si>
    <t>note 3: sb 199 suspends training requirements FY10</t>
  </si>
  <si>
    <t>GMASS GIS Work</t>
  </si>
  <si>
    <t>carry forward from FY09</t>
  </si>
  <si>
    <t>Courthouse AC unit replacement</t>
  </si>
  <si>
    <t>replace jail roof budgeted in 204 acct.</t>
  </si>
  <si>
    <t>Accounting</t>
  </si>
  <si>
    <t>note 1:This was funded from Econ. Dev. Fund 2004-2009</t>
  </si>
  <si>
    <t>overall note: FY10 rec. based on 08 expenses due to the Grand Jury every even year</t>
  </si>
  <si>
    <t>Copier Lease</t>
  </si>
  <si>
    <t xml:space="preserve">note 3: only $500 included in wages for step increases Comm Approved Budget </t>
  </si>
  <si>
    <t>Note 2: hold on filling 2 vacant positions FY09 included in second draft currently 5 vacant positions admin recc see note 6 below</t>
  </si>
  <si>
    <t>Note 6: comm approved hold on filling 2 vacant positions FY10 remaining 3 vacant positons filled in spring (6th month of FY, 7 months total)</t>
  </si>
  <si>
    <t>note 1,2,5,6</t>
  </si>
  <si>
    <t>note 1,2,4,6</t>
  </si>
  <si>
    <t>note 1,2,6</t>
  </si>
  <si>
    <t>NOTE FY09 $538,270 of this budget paid for from 203 Insurance Premium Fund</t>
  </si>
  <si>
    <t>Part Time</t>
  </si>
  <si>
    <t>note1,2,4</t>
  </si>
  <si>
    <t>note 4: BOC approved- full time secretary is part time position FY10, one vacant mech position left vacant FY10</t>
  </si>
  <si>
    <t>Note 2:vacant mechanic position not filled FY09 included (admin recc)</t>
  </si>
  <si>
    <t>note 2,3,4</t>
  </si>
  <si>
    <t>note 7:  We reduced this by $13,500  by raising our deductible to $5,000</t>
  </si>
  <si>
    <t>Transit System DOT Grant 5311</t>
  </si>
  <si>
    <t>eliminated?</t>
  </si>
  <si>
    <t>DHR TANFGrant</t>
  </si>
  <si>
    <t>DHR Aging Grant</t>
  </si>
  <si>
    <t>Legacy Links ARRA Grant</t>
  </si>
  <si>
    <t>THIS BUDGET WILL BE UNDER DEVELOPMENT IN FY10</t>
  </si>
  <si>
    <t>BOC CUTS</t>
  </si>
  <si>
    <t>Admin. Cuts from Budget Requests:</t>
  </si>
  <si>
    <t>BOC Cuts from Admin. Budget:</t>
  </si>
  <si>
    <t>Total Cuts from Budget Requests:</t>
  </si>
  <si>
    <t>Potential Accounts Recievable at year end</t>
  </si>
  <si>
    <t>special reimbursement (w/c)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</si>
</sst>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"/>
    <numFmt numFmtId="176" formatCode="#,##0.0000"/>
    <numFmt numFmtId="177" formatCode="_(* #,##0.0000_);_(* \(#,##0.0000\);_(* &quot;-&quot;????_);_(@_)"/>
    <numFmt numFmtId="178" formatCode="#,##0."/>
    <numFmt numFmtId="179" formatCode="&quot;$&quot;#."/>
    <numFmt numFmtId="180" formatCode="#.00"/>
    <numFmt numFmtId="181" formatCode="&quot;$&quot;#,##0"/>
    <numFmt numFmtId="182" formatCode="#,##0.0_);\(#,##0.0\)"/>
    <numFmt numFmtId="183" formatCode="0.000%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&quot;$&quot;#,##0.0"/>
  </numFmts>
  <fonts count="2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Arial"/>
      <family val="0"/>
    </font>
    <font>
      <b/>
      <sz val="5.25"/>
      <name val="Arial"/>
      <family val="0"/>
    </font>
    <font>
      <sz val="5.25"/>
      <name val="Arial"/>
      <family val="0"/>
    </font>
    <font>
      <b/>
      <sz val="5"/>
      <name val="Arial"/>
      <family val="0"/>
    </font>
    <font>
      <sz val="4.25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3" fillId="0" borderId="0">
      <alignment/>
      <protection locked="0"/>
    </xf>
    <xf numFmtId="0" fontId="13" fillId="0" borderId="0">
      <alignment/>
      <protection locked="0"/>
    </xf>
    <xf numFmtId="180" fontId="13" fillId="0" borderId="0">
      <alignment/>
      <protection locked="0"/>
    </xf>
    <xf numFmtId="0" fontId="1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13" fillId="0" borderId="1">
      <alignment/>
      <protection locked="0"/>
    </xf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166" fontId="5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 indent="4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66" fontId="7" fillId="0" borderId="0" xfId="15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 horizontal="left" indent="2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0" fontId="7" fillId="0" borderId="0" xfId="31" applyNumberFormat="1" applyFont="1" applyAlignment="1">
      <alignment/>
    </xf>
    <xf numFmtId="10" fontId="8" fillId="0" borderId="2" xfId="31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4" fontId="7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0" fontId="8" fillId="0" borderId="0" xfId="31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172" fontId="0" fillId="0" borderId="0" xfId="31" applyNumberFormat="1" applyAlignment="1">
      <alignment/>
    </xf>
    <xf numFmtId="9" fontId="0" fillId="0" borderId="0" xfId="3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43" fontId="0" fillId="0" borderId="7" xfId="15" applyBorder="1" applyAlignment="1">
      <alignment/>
    </xf>
    <xf numFmtId="43" fontId="0" fillId="0" borderId="0" xfId="15" applyAlignment="1">
      <alignment/>
    </xf>
    <xf numFmtId="43" fontId="0" fillId="0" borderId="7" xfId="15" applyNumberFormat="1" applyBorder="1" applyAlignment="1">
      <alignment/>
    </xf>
    <xf numFmtId="9" fontId="0" fillId="0" borderId="0" xfId="3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74" fontId="0" fillId="0" borderId="0" xfId="18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7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18" applyNumberFormat="1" applyAlignment="1">
      <alignment/>
    </xf>
    <xf numFmtId="9" fontId="2" fillId="0" borderId="2" xfId="31" applyFont="1" applyBorder="1" applyAlignment="1">
      <alignment/>
    </xf>
    <xf numFmtId="37" fontId="2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9" fontId="2" fillId="0" borderId="0" xfId="31" applyFont="1" applyAlignment="1">
      <alignment/>
    </xf>
    <xf numFmtId="43" fontId="2" fillId="0" borderId="8" xfId="15" applyFont="1" applyBorder="1" applyAlignment="1">
      <alignment/>
    </xf>
    <xf numFmtId="9" fontId="7" fillId="0" borderId="0" xfId="31" applyNumberFormat="1" applyFont="1" applyAlignment="1">
      <alignment/>
    </xf>
    <xf numFmtId="9" fontId="0" fillId="0" borderId="0" xfId="0" applyNumberFormat="1" applyAlignment="1">
      <alignment/>
    </xf>
    <xf numFmtId="172" fontId="8" fillId="0" borderId="2" xfId="31" applyNumberFormat="1" applyFont="1" applyBorder="1" applyAlignment="1">
      <alignment/>
    </xf>
    <xf numFmtId="9" fontId="7" fillId="0" borderId="0" xfId="31" applyFont="1" applyAlignment="1">
      <alignment/>
    </xf>
    <xf numFmtId="9" fontId="8" fillId="0" borderId="2" xfId="31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0" fillId="0" borderId="0" xfId="31" applyNumberFormat="1" applyAlignment="1">
      <alignment/>
    </xf>
    <xf numFmtId="37" fontId="2" fillId="0" borderId="4" xfId="0" applyNumberFormat="1" applyFont="1" applyBorder="1" applyAlignment="1" quotePrefix="1">
      <alignment horizontal="center"/>
    </xf>
    <xf numFmtId="37" fontId="2" fillId="0" borderId="0" xfId="0" applyNumberFormat="1" applyFont="1" applyAlignment="1">
      <alignment horizontal="center"/>
    </xf>
    <xf numFmtId="172" fontId="8" fillId="0" borderId="0" xfId="31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31" applyNumberFormat="1" applyAlignment="1">
      <alignment/>
    </xf>
    <xf numFmtId="10" fontId="7" fillId="0" borderId="3" xfId="31" applyNumberFormat="1" applyFont="1" applyBorder="1" applyAlignment="1">
      <alignment/>
    </xf>
    <xf numFmtId="44" fontId="15" fillId="0" borderId="0" xfId="18" applyFont="1" applyAlignment="1">
      <alignment/>
    </xf>
    <xf numFmtId="166" fontId="0" fillId="0" borderId="0" xfId="15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9" xfId="31" applyNumberFormat="1" applyBorder="1" applyAlignment="1">
      <alignment/>
    </xf>
    <xf numFmtId="0" fontId="0" fillId="0" borderId="11" xfId="0" applyBorder="1" applyAlignment="1">
      <alignment horizontal="right"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0" fontId="0" fillId="0" borderId="14" xfId="0" applyBorder="1" applyAlignment="1">
      <alignment/>
    </xf>
    <xf numFmtId="43" fontId="2" fillId="0" borderId="15" xfId="15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6" fontId="0" fillId="0" borderId="0" xfId="0" applyNumberFormat="1" applyAlignment="1">
      <alignment/>
    </xf>
    <xf numFmtId="10" fontId="2" fillId="0" borderId="2" xfId="31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" fontId="0" fillId="0" borderId="0" xfId="0" applyNumberFormat="1" applyAlignment="1" quotePrefix="1">
      <alignment horizontal="left" indent="1"/>
    </xf>
    <xf numFmtId="0" fontId="0" fillId="0" borderId="0" xfId="0" applyAlignment="1" quotePrefix="1">
      <alignment horizontal="left" indent="1"/>
    </xf>
    <xf numFmtId="10" fontId="0" fillId="0" borderId="8" xfId="31" applyNumberFormat="1" applyBorder="1" applyAlignment="1">
      <alignment/>
    </xf>
    <xf numFmtId="172" fontId="2" fillId="0" borderId="0" xfId="31" applyNumberFormat="1" applyFont="1" applyAlignment="1">
      <alignment/>
    </xf>
    <xf numFmtId="172" fontId="2" fillId="0" borderId="2" xfId="31" applyNumberFormat="1" applyFont="1" applyBorder="1" applyAlignment="1">
      <alignment/>
    </xf>
    <xf numFmtId="172" fontId="7" fillId="0" borderId="0" xfId="31" applyNumberFormat="1" applyFont="1" applyAlignment="1">
      <alignment/>
    </xf>
    <xf numFmtId="174" fontId="15" fillId="0" borderId="0" xfId="18" applyNumberFormat="1" applyFont="1" applyAlignment="1">
      <alignment horizontal="right"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17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0" fillId="0" borderId="0" xfId="31" applyNumberFormat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/>
    </xf>
    <xf numFmtId="166" fontId="0" fillId="0" borderId="0" xfId="15" applyNumberFormat="1" applyBorder="1" applyAlignment="1">
      <alignment horizontal="right"/>
    </xf>
    <xf numFmtId="0" fontId="8" fillId="0" borderId="0" xfId="0" applyFont="1" applyAlignment="1">
      <alignment horizontal="right"/>
    </xf>
    <xf numFmtId="9" fontId="8" fillId="0" borderId="0" xfId="31" applyNumberFormat="1" applyFont="1" applyAlignment="1">
      <alignment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/>
    </xf>
    <xf numFmtId="10" fontId="0" fillId="0" borderId="0" xfId="31" applyNumberFormat="1" applyFont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31" applyNumberFormat="1" applyFont="1" applyAlignment="1">
      <alignment/>
    </xf>
    <xf numFmtId="3" fontId="17" fillId="0" borderId="2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3" fontId="0" fillId="0" borderId="0" xfId="0" applyNumberFormat="1" applyAlignment="1">
      <alignment horizontal="right"/>
    </xf>
    <xf numFmtId="44" fontId="7" fillId="0" borderId="0" xfId="18" applyFont="1" applyAlignment="1">
      <alignment/>
    </xf>
    <xf numFmtId="17" fontId="7" fillId="0" borderId="3" xfId="0" applyNumberFormat="1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166" fontId="0" fillId="0" borderId="0" xfId="15" applyNumberFormat="1" applyAlignment="1">
      <alignment horizontal="right"/>
    </xf>
    <xf numFmtId="3" fontId="2" fillId="0" borderId="2" xfId="0" applyNumberFormat="1" applyFont="1" applyBorder="1" applyAlignment="1">
      <alignment horizontal="right"/>
    </xf>
    <xf numFmtId="9" fontId="7" fillId="0" borderId="0" xfId="31" applyFont="1" applyBorder="1" applyAlignment="1">
      <alignment/>
    </xf>
    <xf numFmtId="189" fontId="0" fillId="0" borderId="0" xfId="0" applyNumberFormat="1" applyAlignment="1">
      <alignment/>
    </xf>
    <xf numFmtId="181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181" fontId="7" fillId="0" borderId="0" xfId="27" applyNumberFormat="1" applyFont="1" applyProtection="1">
      <alignment/>
      <protection locked="0"/>
    </xf>
    <xf numFmtId="181" fontId="7" fillId="0" borderId="0" xfId="28" applyNumberFormat="1" applyFont="1" applyProtection="1">
      <alignment/>
      <protection locked="0"/>
    </xf>
    <xf numFmtId="181" fontId="7" fillId="0" borderId="0" xfId="29" applyNumberFormat="1" applyFont="1" applyProtection="1">
      <alignment/>
      <protection locked="0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Fill="1" applyBorder="1" applyAlignment="1">
      <alignment/>
    </xf>
    <xf numFmtId="181" fontId="8" fillId="0" borderId="17" xfId="30" applyNumberFormat="1" applyFont="1" applyBorder="1" applyAlignment="1" applyProtection="1">
      <alignment horizontal="left" indent="1"/>
      <protection/>
    </xf>
    <xf numFmtId="166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9" fontId="7" fillId="0" borderId="0" xfId="3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3" fontId="7" fillId="0" borderId="0" xfId="15" applyFont="1" applyAlignment="1">
      <alignment/>
    </xf>
    <xf numFmtId="9" fontId="0" fillId="0" borderId="0" xfId="31" applyFont="1" applyAlignment="1">
      <alignment horizontal="right"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GF21800" xfId="27"/>
    <cellStyle name="Normal_GF24000" xfId="28"/>
    <cellStyle name="Normal_GF24500" xfId="29"/>
    <cellStyle name="Normal_GF55400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>
        <c:manualLayout>
          <c:xMode val="factor"/>
          <c:yMode val="factor"/>
          <c:x val="-0.046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075"/>
          <c:w val="0.936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'GF Rev'!$D$170:$K$170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810788"/>
        <c:axId val="64426181"/>
      </c:barChart>
      <c:catAx>
        <c:axId val="6681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107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Rev'!$C$4:$K$4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'GF Rev'!$C$169:$K$169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4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'GF Rev'!$C$4:$K$4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'GF Rev'!$C$33:$K$33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57590104"/>
        <c:axId val="48548889"/>
      </c:line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48889"/>
        <c:crosses val="autoZero"/>
        <c:auto val="1"/>
        <c:lblOffset val="100"/>
        <c:noMultiLvlLbl val="0"/>
      </c:catAx>
      <c:valAx>
        <c:axId val="48548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90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>
        <c:manualLayout>
          <c:xMode val="factor"/>
          <c:yMode val="factor"/>
          <c:x val="0.018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05"/>
          <c:w val="0.944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'GF Rev'!$D$4:$K$4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'GF Rev'!$D$171:$K$171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4286818"/>
        <c:axId val="40145907"/>
      </c:barChart>
      <c:catAx>
        <c:axId val="3428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5907"/>
        <c:crosses val="autoZero"/>
        <c:auto val="1"/>
        <c:lblOffset val="100"/>
        <c:noMultiLvlLbl val="0"/>
      </c:catAx>
      <c:valAx>
        <c:axId val="40145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868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102101.79999999888</c:v>
              </c:pt>
            </c:numLit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88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GF Revenue History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9432954.280000001</c:v>
              </c:pt>
              <c:pt idx="1">
                <c:v>9535056.08</c:v>
              </c:pt>
            </c:numLit>
          </c:val>
        </c:ser>
        <c:axId val="6901590"/>
        <c:axId val="62114311"/>
      </c:barChart>
      <c:catAx>
        <c:axId val="690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  <c:min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015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LOST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"/>
              <c:pt idx="0">
                <c:v>2425198</c:v>
              </c:pt>
              <c:pt idx="1">
                <c:v>2369145.08</c:v>
              </c:pt>
            </c:numLit>
          </c:val>
          <c:smooth val="0"/>
        </c:ser>
        <c:marker val="1"/>
        <c:axId val="22157888"/>
        <c:axId val="65203265"/>
      </c:line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03265"/>
        <c:crosses val="autoZero"/>
        <c:auto val="1"/>
        <c:lblOffset val="100"/>
        <c:noMultiLvlLbl val="0"/>
      </c:catAx>
      <c:valAx>
        <c:axId val="65203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7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Change in revenue from prior year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2"/>
              <c:pt idx="0">
                <c:v>2006</c:v>
              </c:pt>
              <c:pt idx="1">
                <c:v>2007</c:v>
              </c:pt>
            </c:numLit>
          </c:cat>
          <c:val>
            <c:numLit>
              <c:ptCount val="2"/>
              <c:pt idx="0">
                <c:v>0</c:v>
              </c:pt>
              <c:pt idx="1">
                <c:v>0.010823947298936645</c:v>
              </c:pt>
            </c:numLit>
          </c:val>
        </c:ser>
        <c:axId val="49958474"/>
        <c:axId val="46973083"/>
      </c:barChart>
      <c:catAx>
        <c:axId val="4995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3083"/>
        <c:crosses val="autoZero"/>
        <c:auto val="1"/>
        <c:lblOffset val="100"/>
        <c:noMultiLvlLbl val="0"/>
      </c:catAx>
      <c:valAx>
        <c:axId val="46973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84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176</xdr:row>
      <xdr:rowOff>38100</xdr:rowOff>
    </xdr:from>
    <xdr:to>
      <xdr:col>9</xdr:col>
      <xdr:colOff>619125</xdr:colOff>
      <xdr:row>199</xdr:row>
      <xdr:rowOff>28575</xdr:rowOff>
    </xdr:to>
    <xdr:graphicFrame>
      <xdr:nvGraphicFramePr>
        <xdr:cNvPr id="1" name="Chart 15"/>
        <xdr:cNvGraphicFramePr/>
      </xdr:nvGraphicFramePr>
      <xdr:xfrm>
        <a:off x="342900" y="20707350"/>
        <a:ext cx="30956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178</xdr:row>
      <xdr:rowOff>133350</xdr:rowOff>
    </xdr:from>
    <xdr:to>
      <xdr:col>14</xdr:col>
      <xdr:colOff>381000</xdr:colOff>
      <xdr:row>200</xdr:row>
      <xdr:rowOff>114300</xdr:rowOff>
    </xdr:to>
    <xdr:graphicFrame>
      <xdr:nvGraphicFramePr>
        <xdr:cNvPr id="2" name="Chart 16"/>
        <xdr:cNvGraphicFramePr/>
      </xdr:nvGraphicFramePr>
      <xdr:xfrm>
        <a:off x="2819400" y="21126450"/>
        <a:ext cx="37528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200</xdr:row>
      <xdr:rowOff>123825</xdr:rowOff>
    </xdr:from>
    <xdr:to>
      <xdr:col>8</xdr:col>
      <xdr:colOff>219075</xdr:colOff>
      <xdr:row>224</xdr:row>
      <xdr:rowOff>9525</xdr:rowOff>
    </xdr:to>
    <xdr:graphicFrame>
      <xdr:nvGraphicFramePr>
        <xdr:cNvPr id="3" name="Chart 17"/>
        <xdr:cNvGraphicFramePr/>
      </xdr:nvGraphicFramePr>
      <xdr:xfrm>
        <a:off x="285750" y="24679275"/>
        <a:ext cx="253365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185</xdr:row>
      <xdr:rowOff>9525</xdr:rowOff>
    </xdr:from>
    <xdr:to>
      <xdr:col>13</xdr:col>
      <xdr:colOff>666750</xdr:colOff>
      <xdr:row>208</xdr:row>
      <xdr:rowOff>9525</xdr:rowOff>
    </xdr:to>
    <xdr:graphicFrame>
      <xdr:nvGraphicFramePr>
        <xdr:cNvPr id="4" name="Chart 19"/>
        <xdr:cNvGraphicFramePr/>
      </xdr:nvGraphicFramePr>
      <xdr:xfrm>
        <a:off x="2657475" y="22136100"/>
        <a:ext cx="3514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187</xdr:row>
      <xdr:rowOff>152400</xdr:rowOff>
    </xdr:from>
    <xdr:to>
      <xdr:col>11</xdr:col>
      <xdr:colOff>0</xdr:colOff>
      <xdr:row>210</xdr:row>
      <xdr:rowOff>142875</xdr:rowOff>
    </xdr:to>
    <xdr:graphicFrame>
      <xdr:nvGraphicFramePr>
        <xdr:cNvPr id="5" name="Chart 20"/>
        <xdr:cNvGraphicFramePr/>
      </xdr:nvGraphicFramePr>
      <xdr:xfrm>
        <a:off x="4124325" y="22602825"/>
        <a:ext cx="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177</xdr:row>
      <xdr:rowOff>19050</xdr:rowOff>
    </xdr:from>
    <xdr:to>
      <xdr:col>11</xdr:col>
      <xdr:colOff>0</xdr:colOff>
      <xdr:row>200</xdr:row>
      <xdr:rowOff>9525</xdr:rowOff>
    </xdr:to>
    <xdr:graphicFrame>
      <xdr:nvGraphicFramePr>
        <xdr:cNvPr id="6" name="Chart 21"/>
        <xdr:cNvGraphicFramePr/>
      </xdr:nvGraphicFramePr>
      <xdr:xfrm>
        <a:off x="4124325" y="20850225"/>
        <a:ext cx="0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209</xdr:row>
      <xdr:rowOff>123825</xdr:rowOff>
    </xdr:from>
    <xdr:to>
      <xdr:col>11</xdr:col>
      <xdr:colOff>0</xdr:colOff>
      <xdr:row>233</xdr:row>
      <xdr:rowOff>9525</xdr:rowOff>
    </xdr:to>
    <xdr:graphicFrame>
      <xdr:nvGraphicFramePr>
        <xdr:cNvPr id="7" name="Chart 22"/>
        <xdr:cNvGraphicFramePr/>
      </xdr:nvGraphicFramePr>
      <xdr:xfrm>
        <a:off x="4124325" y="26136600"/>
        <a:ext cx="0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182</xdr:row>
      <xdr:rowOff>142875</xdr:rowOff>
    </xdr:from>
    <xdr:to>
      <xdr:col>11</xdr:col>
      <xdr:colOff>0</xdr:colOff>
      <xdr:row>205</xdr:row>
      <xdr:rowOff>142875</xdr:rowOff>
    </xdr:to>
    <xdr:graphicFrame>
      <xdr:nvGraphicFramePr>
        <xdr:cNvPr id="8" name="Chart 23"/>
        <xdr:cNvGraphicFramePr/>
      </xdr:nvGraphicFramePr>
      <xdr:xfrm>
        <a:off x="4124325" y="21783675"/>
        <a:ext cx="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workbookViewId="0" topLeftCell="A1">
      <selection activeCell="O160" sqref="O160"/>
    </sheetView>
  </sheetViews>
  <sheetFormatPr defaultColWidth="9.140625" defaultRowHeight="12.75"/>
  <cols>
    <col min="1" max="1" width="9.140625" style="26" customWidth="1"/>
    <col min="2" max="2" width="27.8515625" style="25" customWidth="1"/>
    <col min="3" max="3" width="3.7109375" style="22" customWidth="1"/>
    <col min="4" max="4" width="27.8515625" style="25" customWidth="1"/>
    <col min="5" max="5" width="9.140625" style="26" customWidth="1"/>
    <col min="6" max="16384" width="9.140625" style="22" customWidth="1"/>
  </cols>
  <sheetData>
    <row r="1" spans="1:5" s="29" customFormat="1" ht="15">
      <c r="A1" s="27" t="s">
        <v>351</v>
      </c>
      <c r="B1" s="28" t="s">
        <v>352</v>
      </c>
      <c r="D1" s="28" t="s">
        <v>352</v>
      </c>
      <c r="E1" s="27" t="s">
        <v>351</v>
      </c>
    </row>
    <row r="2" spans="1:5" ht="12.75">
      <c r="A2" s="26">
        <v>10000</v>
      </c>
      <c r="B2" s="25" t="s">
        <v>165</v>
      </c>
      <c r="D2" s="25" t="s">
        <v>347</v>
      </c>
      <c r="E2" s="26">
        <v>34200</v>
      </c>
    </row>
    <row r="3" spans="1:5" ht="12.75">
      <c r="A3" s="26">
        <v>13000</v>
      </c>
      <c r="B3" s="25" t="s">
        <v>182</v>
      </c>
      <c r="D3" s="25" t="s">
        <v>311</v>
      </c>
      <c r="E3" s="26">
        <v>71300</v>
      </c>
    </row>
    <row r="4" spans="1:5" ht="12.75">
      <c r="A4" s="26">
        <v>14000</v>
      </c>
      <c r="B4" s="25" t="s">
        <v>138</v>
      </c>
      <c r="D4" s="25" t="s">
        <v>318</v>
      </c>
      <c r="E4" s="26">
        <v>75630</v>
      </c>
    </row>
    <row r="5" spans="1:5" ht="12.75">
      <c r="A5" s="26">
        <v>14100</v>
      </c>
      <c r="B5" s="25" t="s">
        <v>151</v>
      </c>
      <c r="D5" s="25" t="s">
        <v>250</v>
      </c>
      <c r="E5" s="26">
        <v>39100</v>
      </c>
    </row>
    <row r="6" spans="1:5" ht="12.75">
      <c r="A6" s="26">
        <v>15300</v>
      </c>
      <c r="B6" s="25" t="s">
        <v>156</v>
      </c>
      <c r="D6" s="25" t="s">
        <v>222</v>
      </c>
      <c r="E6" s="26">
        <v>28100</v>
      </c>
    </row>
    <row r="7" spans="1:5" ht="12.75">
      <c r="A7" s="26">
        <v>15450</v>
      </c>
      <c r="B7" s="25" t="s">
        <v>158</v>
      </c>
      <c r="D7" s="25" t="s">
        <v>151</v>
      </c>
      <c r="E7" s="26">
        <v>14100</v>
      </c>
    </row>
    <row r="8" spans="1:5" ht="12.75">
      <c r="A8" s="26">
        <v>15500</v>
      </c>
      <c r="B8" s="25" t="s">
        <v>183</v>
      </c>
      <c r="D8" s="25" t="s">
        <v>349</v>
      </c>
      <c r="E8" s="26">
        <v>45410</v>
      </c>
    </row>
    <row r="9" spans="1:5" ht="12.75">
      <c r="A9" s="26">
        <v>15550</v>
      </c>
      <c r="B9" s="25" t="s">
        <v>194</v>
      </c>
      <c r="D9" s="25" t="s">
        <v>210</v>
      </c>
      <c r="E9" s="26">
        <v>21800</v>
      </c>
    </row>
    <row r="10" spans="1:5" ht="12.75">
      <c r="A10" s="26">
        <v>15600</v>
      </c>
      <c r="B10" s="25" t="s">
        <v>353</v>
      </c>
      <c r="D10" s="25" t="s">
        <v>320</v>
      </c>
      <c r="E10" s="26">
        <v>76300</v>
      </c>
    </row>
    <row r="11" spans="1:5" ht="12.75">
      <c r="A11" s="26">
        <v>15650</v>
      </c>
      <c r="B11" s="25" t="s">
        <v>195</v>
      </c>
      <c r="D11" s="25" t="s">
        <v>247</v>
      </c>
      <c r="E11" s="26">
        <v>37000</v>
      </c>
    </row>
    <row r="12" spans="1:5" ht="12.75">
      <c r="A12" s="26">
        <v>15950</v>
      </c>
      <c r="B12" s="25" t="s">
        <v>202</v>
      </c>
      <c r="D12" s="25" t="s">
        <v>292</v>
      </c>
      <c r="E12" s="26">
        <v>55400</v>
      </c>
    </row>
    <row r="13" spans="1:5" ht="12.75">
      <c r="A13" s="26">
        <v>21500</v>
      </c>
      <c r="B13" s="25" t="s">
        <v>204</v>
      </c>
      <c r="D13" s="25" t="s">
        <v>214</v>
      </c>
      <c r="E13" s="26">
        <v>22000</v>
      </c>
    </row>
    <row r="14" spans="1:5" ht="12.75">
      <c r="A14" s="26">
        <v>21800</v>
      </c>
      <c r="B14" s="25" t="s">
        <v>210</v>
      </c>
      <c r="D14" s="25" t="s">
        <v>314</v>
      </c>
      <c r="E14" s="26">
        <v>75000</v>
      </c>
    </row>
    <row r="15" spans="1:5" ht="12.75">
      <c r="A15" s="26">
        <v>22000</v>
      </c>
      <c r="B15" s="25" t="s">
        <v>214</v>
      </c>
      <c r="D15" s="25" t="s">
        <v>138</v>
      </c>
      <c r="E15" s="26">
        <v>14000</v>
      </c>
    </row>
    <row r="16" spans="1:5" ht="12.75">
      <c r="A16" s="26">
        <v>22100</v>
      </c>
      <c r="B16" s="25" t="s">
        <v>454</v>
      </c>
      <c r="D16" s="25" t="s">
        <v>251</v>
      </c>
      <c r="E16" s="26">
        <v>39200</v>
      </c>
    </row>
    <row r="17" spans="1:5" ht="12.75">
      <c r="A17" s="26">
        <v>24000</v>
      </c>
      <c r="B17" s="25" t="s">
        <v>215</v>
      </c>
      <c r="D17" s="25" t="s">
        <v>244</v>
      </c>
      <c r="E17" s="26">
        <v>36000</v>
      </c>
    </row>
    <row r="18" spans="1:5" ht="12.75">
      <c r="A18" s="26">
        <v>24500</v>
      </c>
      <c r="B18" s="25" t="s">
        <v>217</v>
      </c>
      <c r="D18" s="25" t="s">
        <v>182</v>
      </c>
      <c r="E18" s="26">
        <v>13000</v>
      </c>
    </row>
    <row r="19" spans="1:5" ht="12.75">
      <c r="A19" s="26">
        <v>26000</v>
      </c>
      <c r="B19" s="25" t="s">
        <v>218</v>
      </c>
      <c r="D19" s="25" t="s">
        <v>313</v>
      </c>
      <c r="E19" s="26">
        <v>71400</v>
      </c>
    </row>
    <row r="20" spans="1:5" ht="12.75">
      <c r="A20" s="26">
        <v>27000</v>
      </c>
      <c r="B20" s="25" t="s">
        <v>219</v>
      </c>
      <c r="D20" s="25" t="s">
        <v>195</v>
      </c>
      <c r="E20" s="26">
        <v>15650</v>
      </c>
    </row>
    <row r="21" spans="1:5" ht="12.75">
      <c r="A21" s="26">
        <v>28000</v>
      </c>
      <c r="B21" s="25" t="s">
        <v>221</v>
      </c>
      <c r="D21" s="25" t="s">
        <v>202</v>
      </c>
      <c r="E21" s="26">
        <v>15950</v>
      </c>
    </row>
    <row r="22" spans="1:5" ht="12.75">
      <c r="A22" s="26">
        <v>28100</v>
      </c>
      <c r="B22" s="25" t="s">
        <v>222</v>
      </c>
      <c r="D22" s="25" t="s">
        <v>165</v>
      </c>
      <c r="E22" s="26">
        <v>10000</v>
      </c>
    </row>
    <row r="23" spans="1:5" ht="12.75">
      <c r="A23" s="26">
        <v>28110</v>
      </c>
      <c r="B23" s="25" t="s">
        <v>695</v>
      </c>
      <c r="D23" s="25" t="s">
        <v>219</v>
      </c>
      <c r="E23" s="26">
        <v>27000</v>
      </c>
    </row>
    <row r="24" spans="1:5" ht="12.75">
      <c r="A24" s="26">
        <v>33000</v>
      </c>
      <c r="B24" s="25" t="s">
        <v>223</v>
      </c>
      <c r="D24" s="25" t="s">
        <v>279</v>
      </c>
      <c r="E24" s="26">
        <v>51000</v>
      </c>
    </row>
    <row r="25" spans="1:5" ht="12.75">
      <c r="A25" s="26">
        <v>33260</v>
      </c>
      <c r="B25" s="25" t="s">
        <v>234</v>
      </c>
      <c r="D25" s="25" t="s">
        <v>257</v>
      </c>
      <c r="E25" s="26">
        <v>42000</v>
      </c>
    </row>
    <row r="26" spans="1:5" ht="12.75">
      <c r="A26" s="26">
        <v>34200</v>
      </c>
      <c r="B26" s="25" t="s">
        <v>347</v>
      </c>
      <c r="D26" s="25" t="s">
        <v>308</v>
      </c>
      <c r="E26" s="26">
        <v>61900</v>
      </c>
    </row>
    <row r="27" spans="1:5" ht="12.75">
      <c r="A27" s="26">
        <v>36000</v>
      </c>
      <c r="B27" s="25" t="s">
        <v>244</v>
      </c>
      <c r="D27" s="25" t="s">
        <v>353</v>
      </c>
      <c r="E27" s="26">
        <v>15600</v>
      </c>
    </row>
    <row r="28" spans="1:5" ht="12.75">
      <c r="A28" s="26">
        <v>37000</v>
      </c>
      <c r="B28" s="25" t="s">
        <v>247</v>
      </c>
      <c r="D28" s="25" t="s">
        <v>234</v>
      </c>
      <c r="E28" s="26">
        <v>33260</v>
      </c>
    </row>
    <row r="29" spans="1:5" ht="12.75">
      <c r="A29" s="26">
        <v>39100</v>
      </c>
      <c r="B29" s="25" t="s">
        <v>250</v>
      </c>
      <c r="D29" s="25" t="s">
        <v>218</v>
      </c>
      <c r="E29" s="26">
        <v>26000</v>
      </c>
    </row>
    <row r="30" spans="1:5" ht="12.75">
      <c r="A30" s="26">
        <v>39200</v>
      </c>
      <c r="B30" s="25" t="s">
        <v>251</v>
      </c>
      <c r="D30" s="25" t="s">
        <v>156</v>
      </c>
      <c r="E30" s="26">
        <v>15300</v>
      </c>
    </row>
    <row r="31" spans="1:5" ht="12.75">
      <c r="A31" s="26">
        <v>41000</v>
      </c>
      <c r="B31" s="25" t="s">
        <v>252</v>
      </c>
      <c r="D31" s="25" t="s">
        <v>309</v>
      </c>
      <c r="E31" s="26">
        <v>65100</v>
      </c>
    </row>
    <row r="32" spans="1:5" ht="12.75">
      <c r="A32" s="26">
        <v>42000</v>
      </c>
      <c r="B32" s="25" t="s">
        <v>257</v>
      </c>
      <c r="D32" s="25" t="s">
        <v>508</v>
      </c>
      <c r="E32" s="26">
        <v>76400</v>
      </c>
    </row>
    <row r="33" spans="1:5" ht="12.75">
      <c r="A33" s="26">
        <v>44100</v>
      </c>
      <c r="B33" s="25" t="s">
        <v>348</v>
      </c>
      <c r="D33" s="25" t="s">
        <v>215</v>
      </c>
      <c r="E33" s="26">
        <v>24000</v>
      </c>
    </row>
    <row r="34" spans="1:7" ht="12.75">
      <c r="A34" s="26">
        <v>45410</v>
      </c>
      <c r="B34" s="25" t="s">
        <v>349</v>
      </c>
      <c r="D34" s="25" t="s">
        <v>350</v>
      </c>
      <c r="E34" s="26">
        <v>49000</v>
      </c>
      <c r="G34" s="6"/>
    </row>
    <row r="35" spans="1:5" ht="12.75">
      <c r="A35" s="26">
        <v>49000</v>
      </c>
      <c r="B35" s="25" t="s">
        <v>350</v>
      </c>
      <c r="D35" s="25" t="s">
        <v>504</v>
      </c>
      <c r="E35" s="26">
        <v>51000</v>
      </c>
    </row>
    <row r="36" spans="1:8" ht="12.75">
      <c r="A36" s="26">
        <v>51000</v>
      </c>
      <c r="B36" s="25" t="s">
        <v>279</v>
      </c>
      <c r="D36" s="25" t="s">
        <v>695</v>
      </c>
      <c r="E36" s="26">
        <v>28110</v>
      </c>
      <c r="G36" s="6"/>
      <c r="H36" s="33"/>
    </row>
    <row r="37" spans="1:8" ht="12.75">
      <c r="A37" s="26">
        <v>51000</v>
      </c>
      <c r="B37" s="25" t="s">
        <v>504</v>
      </c>
      <c r="D37" s="25" t="s">
        <v>217</v>
      </c>
      <c r="E37" s="26">
        <v>24500</v>
      </c>
      <c r="H37" s="6"/>
    </row>
    <row r="38" spans="1:5" ht="12.75">
      <c r="A38" s="26">
        <v>54000</v>
      </c>
      <c r="B38" s="25" t="s">
        <v>285</v>
      </c>
      <c r="D38" s="25" t="s">
        <v>221</v>
      </c>
      <c r="E38" s="26">
        <v>28000</v>
      </c>
    </row>
    <row r="39" spans="1:5" ht="12.75">
      <c r="A39" s="26">
        <v>55200</v>
      </c>
      <c r="B39" s="25" t="s">
        <v>287</v>
      </c>
      <c r="D39" s="25" t="s">
        <v>252</v>
      </c>
      <c r="E39" s="26">
        <v>41000</v>
      </c>
    </row>
    <row r="40" spans="1:5" ht="12.75">
      <c r="A40" s="26">
        <v>55400</v>
      </c>
      <c r="B40" s="25" t="s">
        <v>292</v>
      </c>
      <c r="D40" s="25" t="s">
        <v>294</v>
      </c>
      <c r="E40" s="26">
        <v>61000</v>
      </c>
    </row>
    <row r="41" spans="1:5" ht="12.75">
      <c r="A41" s="26">
        <v>61000</v>
      </c>
      <c r="B41" s="25" t="s">
        <v>294</v>
      </c>
      <c r="D41" s="25" t="s">
        <v>194</v>
      </c>
      <c r="E41" s="26">
        <v>15550</v>
      </c>
    </row>
    <row r="42" spans="1:5" ht="12.75">
      <c r="A42" s="26">
        <v>61900</v>
      </c>
      <c r="B42" s="25" t="s">
        <v>308</v>
      </c>
      <c r="D42" s="25" t="s">
        <v>287</v>
      </c>
      <c r="E42" s="26">
        <v>55200</v>
      </c>
    </row>
    <row r="43" spans="1:5" ht="12.75">
      <c r="A43" s="26">
        <v>65100</v>
      </c>
      <c r="B43" s="25" t="s">
        <v>309</v>
      </c>
      <c r="D43" s="25" t="s">
        <v>223</v>
      </c>
      <c r="E43" s="26">
        <v>33000</v>
      </c>
    </row>
    <row r="44" spans="1:5" ht="12.75">
      <c r="A44" s="26">
        <v>71300</v>
      </c>
      <c r="B44" s="25" t="s">
        <v>311</v>
      </c>
      <c r="D44" s="25" t="s">
        <v>204</v>
      </c>
      <c r="E44" s="26">
        <v>21500</v>
      </c>
    </row>
    <row r="45" spans="1:5" ht="12.75">
      <c r="A45" s="26">
        <v>71400</v>
      </c>
      <c r="B45" s="25" t="s">
        <v>313</v>
      </c>
      <c r="D45" s="25" t="s">
        <v>183</v>
      </c>
      <c r="E45" s="26">
        <v>15500</v>
      </c>
    </row>
    <row r="46" spans="1:5" ht="12.75">
      <c r="A46" s="26">
        <v>75000</v>
      </c>
      <c r="B46" s="25" t="s">
        <v>314</v>
      </c>
      <c r="D46" s="25" t="s">
        <v>158</v>
      </c>
      <c r="E46" s="26">
        <v>15450</v>
      </c>
    </row>
    <row r="47" spans="1:5" ht="12.75">
      <c r="A47" s="26">
        <v>75630</v>
      </c>
      <c r="B47" s="25" t="s">
        <v>318</v>
      </c>
      <c r="D47" s="25" t="s">
        <v>454</v>
      </c>
      <c r="E47" s="26">
        <v>22100</v>
      </c>
    </row>
    <row r="48" spans="1:5" ht="12.75">
      <c r="A48" s="26">
        <v>76300</v>
      </c>
      <c r="B48" s="25" t="s">
        <v>320</v>
      </c>
      <c r="D48" s="25" t="s">
        <v>348</v>
      </c>
      <c r="E48" s="26">
        <v>44100</v>
      </c>
    </row>
    <row r="49" spans="1:5" ht="12.75">
      <c r="A49" s="26">
        <v>76400</v>
      </c>
      <c r="B49" s="25" t="s">
        <v>508</v>
      </c>
      <c r="D49" s="25" t="s">
        <v>285</v>
      </c>
      <c r="E49" s="26">
        <v>54000</v>
      </c>
    </row>
    <row r="50" spans="4:5" ht="12.75">
      <c r="D50" s="22"/>
      <c r="E50" s="2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95"/>
  <sheetViews>
    <sheetView zoomScale="75" zoomScaleNormal="75" workbookViewId="0" topLeftCell="A3">
      <pane ySplit="960" topLeftCell="BM1" activePane="bottomLeft" state="split"/>
      <selection pane="topLeft" activeCell="V3" sqref="V1:X16384"/>
      <selection pane="bottomLeft" activeCell="A33" sqref="A33:B3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7109375" style="0" hidden="1" customWidth="1"/>
    <col min="5" max="6" width="9.140625" style="0" hidden="1" customWidth="1"/>
    <col min="7" max="7" width="0.42578125" style="0" hidden="1" customWidth="1"/>
    <col min="8" max="9" width="9.140625" style="0" hidden="1" customWidth="1"/>
    <col min="10" max="10" width="8.7109375" style="0" bestFit="1" customWidth="1"/>
    <col min="15" max="17" width="11.7109375" style="0" customWidth="1"/>
    <col min="18" max="18" width="12.140625" style="0" bestFit="1" customWidth="1"/>
    <col min="19" max="19" width="10.28125" style="0" bestFit="1" customWidth="1"/>
    <col min="20" max="20" width="11.7109375" style="0" customWidth="1"/>
  </cols>
  <sheetData>
    <row r="1" spans="1:13" ht="12.75">
      <c r="A1" t="s">
        <v>106</v>
      </c>
      <c r="M1" s="6"/>
    </row>
    <row r="2" spans="1:14" ht="12.75">
      <c r="A2" t="s">
        <v>107</v>
      </c>
      <c r="M2" s="170"/>
      <c r="N2" s="170"/>
    </row>
    <row r="3" spans="1:19" ht="12.75">
      <c r="A3" s="6" t="s">
        <v>442</v>
      </c>
      <c r="M3" s="57">
        <v>10</v>
      </c>
      <c r="S3" s="1" t="s">
        <v>438</v>
      </c>
    </row>
    <row r="4" spans="2:19" ht="12.75">
      <c r="B4" s="14"/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 t="s">
        <v>110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472</v>
      </c>
      <c r="O5" s="1" t="s">
        <v>109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1:20" ht="12.75">
      <c r="A7" s="22" t="s">
        <v>686</v>
      </c>
      <c r="B7" s="4">
        <v>51.11</v>
      </c>
      <c r="C7" s="2">
        <v>90245</v>
      </c>
      <c r="D7" s="2">
        <v>121662</v>
      </c>
      <c r="E7" s="2">
        <v>108199</v>
      </c>
      <c r="F7" s="2">
        <v>142061</v>
      </c>
      <c r="G7" s="2">
        <v>151423</v>
      </c>
      <c r="H7" s="2">
        <v>101279</v>
      </c>
      <c r="I7" s="2">
        <v>110923</v>
      </c>
      <c r="J7" s="2">
        <v>130729</v>
      </c>
      <c r="K7" s="2">
        <v>151350</v>
      </c>
      <c r="L7" s="2">
        <v>198707.62</v>
      </c>
      <c r="M7" s="2">
        <v>167348</v>
      </c>
      <c r="N7" s="2">
        <f>+M7/$M$3*12</f>
        <v>200817.59999999998</v>
      </c>
      <c r="O7" s="2">
        <v>204635.305</v>
      </c>
      <c r="P7" s="2">
        <v>230000</v>
      </c>
      <c r="Q7" s="2">
        <v>209673.16</v>
      </c>
      <c r="R7" s="2">
        <v>209673.16</v>
      </c>
      <c r="S7" s="92">
        <f>(R7-O7)/O7</f>
        <v>0.02461869910473176</v>
      </c>
      <c r="T7" s="33" t="s">
        <v>1007</v>
      </c>
    </row>
    <row r="8" spans="1:20" ht="12.75">
      <c r="A8" t="s">
        <v>443</v>
      </c>
      <c r="B8" s="4">
        <v>51.12</v>
      </c>
      <c r="C8" s="2"/>
      <c r="D8" s="2"/>
      <c r="E8" s="2"/>
      <c r="F8" s="2"/>
      <c r="G8" s="2"/>
      <c r="H8" s="2">
        <v>4136</v>
      </c>
      <c r="I8" s="2">
        <v>27700</v>
      </c>
      <c r="J8" s="2">
        <v>3577</v>
      </c>
      <c r="K8" s="2">
        <v>9957</v>
      </c>
      <c r="L8" s="2">
        <v>28454</v>
      </c>
      <c r="M8" s="2">
        <v>17692</v>
      </c>
      <c r="N8" s="2">
        <v>22000</v>
      </c>
      <c r="O8" s="20">
        <v>21869</v>
      </c>
      <c r="P8" s="2">
        <v>45000</v>
      </c>
      <c r="Q8" s="2"/>
      <c r="R8" s="2"/>
      <c r="S8" s="92"/>
      <c r="T8" s="6"/>
    </row>
    <row r="9" spans="1:20" ht="12.75">
      <c r="A9" t="s">
        <v>498</v>
      </c>
      <c r="B9" s="4">
        <v>51.1205</v>
      </c>
      <c r="C9" s="2"/>
      <c r="D9" s="2"/>
      <c r="E9" s="2"/>
      <c r="F9" s="2"/>
      <c r="G9" s="2"/>
      <c r="H9" s="2">
        <v>5250</v>
      </c>
      <c r="I9" s="2">
        <v>10675</v>
      </c>
      <c r="J9" s="2">
        <v>12550</v>
      </c>
      <c r="K9" s="2">
        <v>7675</v>
      </c>
      <c r="L9" s="2">
        <v>5275</v>
      </c>
      <c r="M9" s="2">
        <v>6150</v>
      </c>
      <c r="N9" s="2">
        <f>+M9/$M$3*12</f>
        <v>7380</v>
      </c>
      <c r="O9" s="2">
        <v>7000</v>
      </c>
      <c r="P9" s="2">
        <v>10000</v>
      </c>
      <c r="Q9" s="2">
        <v>10000</v>
      </c>
      <c r="R9" s="2">
        <v>10000</v>
      </c>
      <c r="S9" s="92"/>
      <c r="T9" s="33" t="s">
        <v>3</v>
      </c>
    </row>
    <row r="10" spans="1:20" ht="12.75">
      <c r="A10" t="s">
        <v>152</v>
      </c>
      <c r="B10" s="4">
        <v>51.13</v>
      </c>
      <c r="C10" s="2"/>
      <c r="D10" s="2"/>
      <c r="E10" s="2"/>
      <c r="F10" s="2"/>
      <c r="G10" s="2"/>
      <c r="H10" s="2"/>
      <c r="I10" s="2"/>
      <c r="J10" s="2">
        <v>1909</v>
      </c>
      <c r="K10" s="2"/>
      <c r="L10" s="2">
        <v>22</v>
      </c>
      <c r="M10" s="2"/>
      <c r="N10" s="2"/>
      <c r="O10" s="2"/>
      <c r="P10" s="2"/>
      <c r="Q10" s="2"/>
      <c r="R10" s="2"/>
      <c r="S10" s="92"/>
      <c r="T10" s="33"/>
    </row>
    <row r="11" spans="1:21" ht="12.75">
      <c r="A11" t="s">
        <v>494</v>
      </c>
      <c r="B11" s="4">
        <v>51.21</v>
      </c>
      <c r="C11" s="2">
        <v>5657</v>
      </c>
      <c r="D11" s="2">
        <v>9443</v>
      </c>
      <c r="E11" s="2">
        <v>12746</v>
      </c>
      <c r="F11" s="2">
        <v>10123</v>
      </c>
      <c r="G11" s="2">
        <v>12051</v>
      </c>
      <c r="H11" s="2">
        <v>10024</v>
      </c>
      <c r="I11" s="2">
        <v>9979</v>
      </c>
      <c r="J11" s="2">
        <v>12751</v>
      </c>
      <c r="K11" s="2">
        <v>16749</v>
      </c>
      <c r="L11" s="2">
        <v>22302</v>
      </c>
      <c r="M11" s="2">
        <v>22838</v>
      </c>
      <c r="N11" s="2">
        <f>+M11/$M$3*12</f>
        <v>27405.600000000002</v>
      </c>
      <c r="O11" s="31">
        <v>33600</v>
      </c>
      <c r="P11" s="31">
        <f>8*4920</f>
        <v>39360</v>
      </c>
      <c r="Q11" s="31">
        <f>7*4920</f>
        <v>34440</v>
      </c>
      <c r="R11" s="31">
        <f>7*4920</f>
        <v>34440</v>
      </c>
      <c r="S11" s="92">
        <f>(R11-O11)/O11</f>
        <v>0.025</v>
      </c>
      <c r="T11" s="33" t="s">
        <v>1010</v>
      </c>
      <c r="U11" s="2"/>
    </row>
    <row r="12" spans="1:20" ht="12.75">
      <c r="A12" t="s">
        <v>139</v>
      </c>
      <c r="B12" s="4">
        <v>51.22</v>
      </c>
      <c r="C12" s="2">
        <v>6943</v>
      </c>
      <c r="D12" s="2">
        <v>9290</v>
      </c>
      <c r="E12" s="2">
        <v>8266</v>
      </c>
      <c r="F12" s="2">
        <v>10901</v>
      </c>
      <c r="G12" s="2">
        <v>11572</v>
      </c>
      <c r="H12" s="2">
        <v>8408</v>
      </c>
      <c r="I12" s="2">
        <v>11364</v>
      </c>
      <c r="J12" s="2">
        <v>11290</v>
      </c>
      <c r="K12" s="2">
        <v>12852</v>
      </c>
      <c r="L12" s="2">
        <v>17501.83</v>
      </c>
      <c r="M12" s="2">
        <v>14157</v>
      </c>
      <c r="N12" s="2">
        <f>(N7+N8+N9+N10)*0.0765</f>
        <v>17610.1164</v>
      </c>
      <c r="O12" s="2">
        <v>20015.1008325</v>
      </c>
      <c r="P12" s="31">
        <f>(P7+P8+P9+P10)*0.0765</f>
        <v>21802.5</v>
      </c>
      <c r="Q12" s="31">
        <f>(Q7+Q8+Q9+Q10)*0.0765</f>
        <v>16804.99674</v>
      </c>
      <c r="R12" s="31">
        <f>(R7+R8+R9+R10)*0.0765</f>
        <v>16804.99674</v>
      </c>
      <c r="S12" s="92">
        <f>(R12-O12)/O12</f>
        <v>-0.1603841079475112</v>
      </c>
      <c r="T12" s="33" t="s">
        <v>1008</v>
      </c>
    </row>
    <row r="13" spans="1:20" ht="12.75">
      <c r="A13" t="s">
        <v>153</v>
      </c>
      <c r="B13" s="4">
        <v>51.24</v>
      </c>
      <c r="C13" s="2">
        <v>1439</v>
      </c>
      <c r="D13" s="2">
        <v>1639</v>
      </c>
      <c r="E13" s="2">
        <v>1781</v>
      </c>
      <c r="F13" s="2">
        <v>1267</v>
      </c>
      <c r="G13" s="2">
        <v>1629</v>
      </c>
      <c r="H13" s="2">
        <v>1778</v>
      </c>
      <c r="I13" s="2">
        <v>1382</v>
      </c>
      <c r="J13" s="2">
        <v>301</v>
      </c>
      <c r="K13" s="2">
        <v>785</v>
      </c>
      <c r="L13" s="2">
        <v>999</v>
      </c>
      <c r="M13" s="2">
        <v>391.64</v>
      </c>
      <c r="N13" s="2">
        <v>392</v>
      </c>
      <c r="O13" s="20">
        <v>2500</v>
      </c>
      <c r="P13" s="2">
        <v>2500</v>
      </c>
      <c r="Q13" s="20">
        <v>2500</v>
      </c>
      <c r="R13" s="20">
        <v>2500</v>
      </c>
      <c r="S13" s="92">
        <f>(R13-O13)/O13</f>
        <v>0</v>
      </c>
      <c r="T13" s="33"/>
    </row>
    <row r="14" spans="1:21" ht="12.75">
      <c r="A14" t="s">
        <v>740</v>
      </c>
      <c r="B14" s="4"/>
      <c r="C14" s="2"/>
      <c r="D14" s="2"/>
      <c r="E14" s="2"/>
      <c r="F14" s="2"/>
      <c r="G14" s="2"/>
      <c r="H14" s="2"/>
      <c r="I14" s="2"/>
      <c r="J14" s="2"/>
      <c r="K14" s="2">
        <v>1477</v>
      </c>
      <c r="L14" s="2"/>
      <c r="M14" s="2"/>
      <c r="N14" s="2">
        <f>+M14/$M$3*12</f>
        <v>0</v>
      </c>
      <c r="O14" s="20"/>
      <c r="P14" s="2"/>
      <c r="Q14" s="20"/>
      <c r="R14" s="20"/>
      <c r="S14" s="92"/>
      <c r="U14" s="2"/>
    </row>
    <row r="15" spans="2:21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  <c r="U15" s="2"/>
    </row>
    <row r="16" spans="1:19" ht="12.75" hidden="1">
      <c r="A16" t="s">
        <v>157</v>
      </c>
      <c r="B16" s="4">
        <v>52.12</v>
      </c>
      <c r="C16" s="2">
        <v>14964</v>
      </c>
      <c r="D16" s="2">
        <v>17525</v>
      </c>
      <c r="E16" s="2"/>
      <c r="F16" s="2">
        <v>5000</v>
      </c>
      <c r="G16" s="2">
        <v>12128</v>
      </c>
      <c r="H16" s="2"/>
      <c r="I16" s="2">
        <v>2400</v>
      </c>
      <c r="J16" s="2"/>
      <c r="K16" s="2"/>
      <c r="L16" s="2"/>
      <c r="M16" s="2"/>
      <c r="N16" s="2"/>
      <c r="O16" s="2"/>
      <c r="P16" s="2"/>
      <c r="Q16" s="2"/>
      <c r="R16" s="2"/>
      <c r="S16" s="92"/>
    </row>
    <row r="17" spans="2:19" ht="12.75" hidden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</row>
    <row r="18" spans="1:19" ht="12.75">
      <c r="A18" t="s">
        <v>543</v>
      </c>
      <c r="B18" s="4">
        <v>52.121</v>
      </c>
      <c r="C18" s="2"/>
      <c r="D18" s="2"/>
      <c r="E18" s="2"/>
      <c r="F18" s="2"/>
      <c r="G18" s="2"/>
      <c r="H18" s="2">
        <v>4070</v>
      </c>
      <c r="I18" s="2">
        <f>6924+181</f>
        <v>7105</v>
      </c>
      <c r="J18" s="2">
        <v>13709</v>
      </c>
      <c r="K18" s="2">
        <v>4998</v>
      </c>
      <c r="L18" s="2">
        <v>154</v>
      </c>
      <c r="M18" s="2">
        <v>1062</v>
      </c>
      <c r="N18" s="2">
        <f>+M18/$M$3*12</f>
        <v>1274.4</v>
      </c>
      <c r="O18" s="2">
        <v>1000</v>
      </c>
      <c r="P18" s="2">
        <v>1000</v>
      </c>
      <c r="Q18" s="2">
        <v>1000</v>
      </c>
      <c r="R18" s="2">
        <v>1000</v>
      </c>
      <c r="S18" s="92"/>
    </row>
    <row r="19" spans="1:19" ht="12.75">
      <c r="A19" t="s">
        <v>572</v>
      </c>
      <c r="B19" s="4">
        <v>52.1211</v>
      </c>
      <c r="C19" s="2"/>
      <c r="D19" s="2"/>
      <c r="E19" s="2"/>
      <c r="F19" s="2"/>
      <c r="G19" s="2"/>
      <c r="H19" s="2">
        <v>23801</v>
      </c>
      <c r="I19" s="2">
        <f>16287+1520</f>
        <v>17807</v>
      </c>
      <c r="J19" s="2">
        <v>23412</v>
      </c>
      <c r="K19" s="2">
        <v>17558</v>
      </c>
      <c r="L19" s="2">
        <v>11027</v>
      </c>
      <c r="M19" s="2">
        <v>7402</v>
      </c>
      <c r="N19" s="2">
        <f>+M19/$M$3*12</f>
        <v>8882.400000000001</v>
      </c>
      <c r="O19" s="2">
        <v>8000</v>
      </c>
      <c r="P19" s="2">
        <v>10000</v>
      </c>
      <c r="Q19" s="2">
        <v>10000</v>
      </c>
      <c r="R19" s="2">
        <v>10000</v>
      </c>
      <c r="S19" s="92"/>
    </row>
    <row r="20" spans="1:19" ht="12.75" hidden="1">
      <c r="A20" t="s">
        <v>184</v>
      </c>
      <c r="B20" s="4">
        <v>52.1213</v>
      </c>
      <c r="C20" s="2"/>
      <c r="D20" s="2"/>
      <c r="E20" s="2">
        <v>44955</v>
      </c>
      <c r="F20" s="2">
        <v>26399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 hidden="1">
      <c r="A21" t="s">
        <v>598</v>
      </c>
      <c r="B21" s="4">
        <v>52.1215</v>
      </c>
      <c r="C21" s="2"/>
      <c r="D21" s="2"/>
      <c r="E21" s="2"/>
      <c r="F21" s="2"/>
      <c r="G21" s="2"/>
      <c r="H21" s="2">
        <v>596</v>
      </c>
      <c r="I21" s="2"/>
      <c r="J21" s="2"/>
      <c r="K21" s="2"/>
      <c r="L21" s="2"/>
      <c r="M21" s="2"/>
      <c r="N21" s="2">
        <f>+M21/$M$3*12</f>
        <v>0</v>
      </c>
      <c r="O21" s="2"/>
      <c r="P21" s="2"/>
      <c r="Q21" s="2"/>
      <c r="R21" s="2"/>
      <c r="S21" s="92"/>
    </row>
    <row r="22" spans="1:19" ht="12.75">
      <c r="A22" t="s">
        <v>811</v>
      </c>
      <c r="B22" s="4">
        <v>52.123</v>
      </c>
      <c r="C22" s="2"/>
      <c r="D22" s="2"/>
      <c r="E22" s="2"/>
      <c r="F22" s="2"/>
      <c r="G22" s="2"/>
      <c r="H22" s="2"/>
      <c r="I22" s="2"/>
      <c r="J22" s="2"/>
      <c r="K22" s="2">
        <v>4125</v>
      </c>
      <c r="L22" s="2"/>
      <c r="M22" s="2"/>
      <c r="N22" s="2"/>
      <c r="O22" s="2"/>
      <c r="P22" s="2"/>
      <c r="Q22" s="2"/>
      <c r="R22" s="2"/>
      <c r="S22" s="92"/>
    </row>
    <row r="23" spans="1:19" ht="12.75">
      <c r="A23" s="33" t="s">
        <v>599</v>
      </c>
      <c r="B23" s="4">
        <v>52.13</v>
      </c>
      <c r="C23" s="2"/>
      <c r="D23" s="2"/>
      <c r="E23" s="2"/>
      <c r="F23" s="2">
        <v>14307</v>
      </c>
      <c r="G23" s="2">
        <v>5000</v>
      </c>
      <c r="H23" s="2">
        <v>4500</v>
      </c>
      <c r="I23" s="2">
        <v>5000</v>
      </c>
      <c r="J23" s="2">
        <v>3230</v>
      </c>
      <c r="K23" s="2">
        <v>767</v>
      </c>
      <c r="L23" s="2">
        <v>528</v>
      </c>
      <c r="M23" s="2"/>
      <c r="N23" s="2">
        <f>+M23/$M$3*12</f>
        <v>0</v>
      </c>
      <c r="O23" s="2"/>
      <c r="P23" s="2">
        <v>1000</v>
      </c>
      <c r="Q23" s="2"/>
      <c r="R23" s="2"/>
      <c r="S23" s="92" t="e">
        <f>(R23-O23)/O23</f>
        <v>#DIV/0!</v>
      </c>
    </row>
    <row r="24" spans="1:20" ht="12.75">
      <c r="A24" t="s">
        <v>796</v>
      </c>
      <c r="B24" s="4">
        <v>52.1301</v>
      </c>
      <c r="C24" s="2">
        <v>16007</v>
      </c>
      <c r="D24" s="2">
        <v>15821</v>
      </c>
      <c r="E24" s="2">
        <v>17624</v>
      </c>
      <c r="F24" s="2">
        <v>15198</v>
      </c>
      <c r="G24" s="2">
        <v>15682</v>
      </c>
      <c r="H24" s="2">
        <v>10692</v>
      </c>
      <c r="I24" s="2">
        <v>15692</v>
      </c>
      <c r="J24" s="2">
        <v>3318</v>
      </c>
      <c r="K24" s="2">
        <v>1000</v>
      </c>
      <c r="L24" s="2">
        <v>1000</v>
      </c>
      <c r="M24" s="2">
        <v>1000</v>
      </c>
      <c r="N24" s="2">
        <v>1000</v>
      </c>
      <c r="O24" s="2">
        <v>1000</v>
      </c>
      <c r="P24" s="2">
        <v>1000</v>
      </c>
      <c r="Q24" s="2">
        <v>1000</v>
      </c>
      <c r="R24" s="2">
        <v>1000</v>
      </c>
      <c r="S24" s="92">
        <f>(R24-O24)/O24</f>
        <v>0</v>
      </c>
      <c r="T24" t="s">
        <v>515</v>
      </c>
    </row>
    <row r="25" spans="1:19" ht="12.75">
      <c r="A25" t="s">
        <v>600</v>
      </c>
      <c r="B25" s="4">
        <v>52.1316</v>
      </c>
      <c r="C25" s="2"/>
      <c r="D25" s="2"/>
      <c r="E25" s="2">
        <v>638</v>
      </c>
      <c r="F25" s="2">
        <v>884</v>
      </c>
      <c r="G25" s="2"/>
      <c r="H25" s="2">
        <v>800</v>
      </c>
      <c r="I25" s="2">
        <f>1308+96</f>
        <v>1404</v>
      </c>
      <c r="J25" s="2">
        <v>620</v>
      </c>
      <c r="K25" s="2"/>
      <c r="L25" s="2">
        <v>938</v>
      </c>
      <c r="M25" s="2"/>
      <c r="N25" s="2"/>
      <c r="O25" s="2">
        <v>800</v>
      </c>
      <c r="P25" s="2"/>
      <c r="Q25" s="2"/>
      <c r="R25" s="2"/>
      <c r="S25" s="92"/>
    </row>
    <row r="26" spans="1:19" ht="12.75" hidden="1">
      <c r="A26" t="s">
        <v>185</v>
      </c>
      <c r="B26" s="4">
        <v>52.2206</v>
      </c>
      <c r="C26" s="2">
        <v>195</v>
      </c>
      <c r="D26" s="2">
        <v>1195</v>
      </c>
      <c r="E26" s="2">
        <v>493</v>
      </c>
      <c r="F26" s="2">
        <v>209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2"/>
    </row>
    <row r="27" spans="1:20" s="22" customFormat="1" ht="12.75">
      <c r="A27" s="22" t="s">
        <v>854</v>
      </c>
      <c r="B27" s="49">
        <v>52.1326</v>
      </c>
      <c r="C27" s="31"/>
      <c r="D27" s="31"/>
      <c r="E27" s="31"/>
      <c r="F27" s="31"/>
      <c r="G27" s="31"/>
      <c r="H27" s="31"/>
      <c r="I27" s="31"/>
      <c r="J27" s="31"/>
      <c r="K27" s="31">
        <v>5615</v>
      </c>
      <c r="L27" s="31">
        <v>14980</v>
      </c>
      <c r="M27" s="31">
        <v>69331</v>
      </c>
      <c r="N27" s="31">
        <v>69331</v>
      </c>
      <c r="O27" s="31">
        <v>69331</v>
      </c>
      <c r="P27" s="31">
        <v>50000</v>
      </c>
      <c r="Q27" s="31">
        <v>10000</v>
      </c>
      <c r="R27" s="31">
        <v>10000</v>
      </c>
      <c r="S27" s="52"/>
      <c r="T27" s="6" t="s">
        <v>1005</v>
      </c>
    </row>
    <row r="28" spans="1:20" s="22" customFormat="1" ht="12.75">
      <c r="A28" s="22" t="s">
        <v>1037</v>
      </c>
      <c r="B28" s="4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>
        <v>20000</v>
      </c>
      <c r="P28" s="31">
        <v>20000</v>
      </c>
      <c r="Q28" s="31">
        <v>20000</v>
      </c>
      <c r="R28" s="31">
        <v>20000</v>
      </c>
      <c r="S28" s="52"/>
      <c r="T28" s="6" t="s">
        <v>1038</v>
      </c>
    </row>
    <row r="29" spans="1:19" ht="12.75">
      <c r="A29" t="s">
        <v>812</v>
      </c>
      <c r="B29" s="4">
        <v>52.2204</v>
      </c>
      <c r="C29" s="2"/>
      <c r="D29" s="2"/>
      <c r="E29" s="2"/>
      <c r="F29" s="2"/>
      <c r="G29" s="2"/>
      <c r="H29" s="2"/>
      <c r="I29" s="2"/>
      <c r="J29" s="2"/>
      <c r="K29" s="2">
        <f>713+244</f>
        <v>957</v>
      </c>
      <c r="L29" s="2">
        <v>75</v>
      </c>
      <c r="M29" s="2">
        <v>861</v>
      </c>
      <c r="N29" s="2">
        <v>800</v>
      </c>
      <c r="O29" s="2">
        <v>800</v>
      </c>
      <c r="P29" s="2">
        <v>800</v>
      </c>
      <c r="Q29" s="2">
        <v>800</v>
      </c>
      <c r="R29" s="2">
        <v>800</v>
      </c>
      <c r="S29" s="92"/>
    </row>
    <row r="30" spans="1:20" ht="12.75">
      <c r="A30" t="s">
        <v>90</v>
      </c>
      <c r="B30" s="4">
        <v>52.2314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9000</v>
      </c>
      <c r="N30" s="2">
        <v>10800</v>
      </c>
      <c r="O30" s="2">
        <v>10800</v>
      </c>
      <c r="P30" s="2">
        <v>10800</v>
      </c>
      <c r="Q30" s="2">
        <v>6300</v>
      </c>
      <c r="R30" s="2">
        <v>6300</v>
      </c>
      <c r="S30" s="92"/>
      <c r="T30" t="s">
        <v>582</v>
      </c>
    </row>
    <row r="31" spans="1:20" ht="12.75">
      <c r="A31" t="s">
        <v>141</v>
      </c>
      <c r="B31" s="4">
        <v>52.32</v>
      </c>
      <c r="C31" s="2">
        <v>1825</v>
      </c>
      <c r="D31" s="2">
        <v>2502</v>
      </c>
      <c r="E31" s="2">
        <v>2472</v>
      </c>
      <c r="F31" s="2">
        <v>2873</v>
      </c>
      <c r="G31" s="2">
        <v>2966</v>
      </c>
      <c r="H31" s="2">
        <v>3968</v>
      </c>
      <c r="I31" s="2">
        <v>4162</v>
      </c>
      <c r="J31" s="2">
        <v>4133</v>
      </c>
      <c r="K31" s="2">
        <v>4356</v>
      </c>
      <c r="L31" s="2">
        <v>5266</v>
      </c>
      <c r="M31" s="2">
        <v>3999</v>
      </c>
      <c r="N31" s="2">
        <f>+M31/$M$3*12</f>
        <v>4798.799999999999</v>
      </c>
      <c r="O31" s="2">
        <v>4320</v>
      </c>
      <c r="P31" s="2">
        <v>4320</v>
      </c>
      <c r="Q31" s="2">
        <v>4320</v>
      </c>
      <c r="R31" s="2">
        <v>4320</v>
      </c>
      <c r="S31" s="92">
        <f aca="true" t="shared" si="0" ref="S31:S37">(R31-O31)/O31</f>
        <v>0</v>
      </c>
      <c r="T31" t="s">
        <v>514</v>
      </c>
    </row>
    <row r="32" spans="1:19" ht="12.75">
      <c r="A32" t="s">
        <v>142</v>
      </c>
      <c r="B32" s="4">
        <v>52.321</v>
      </c>
      <c r="C32" s="2">
        <v>6782</v>
      </c>
      <c r="D32" s="2">
        <v>3482</v>
      </c>
      <c r="E32" s="2">
        <v>4059</v>
      </c>
      <c r="F32" s="2">
        <v>10359</v>
      </c>
      <c r="G32" s="2">
        <v>3800</v>
      </c>
      <c r="H32" s="2">
        <v>4018</v>
      </c>
      <c r="I32" s="2">
        <v>7544</v>
      </c>
      <c r="J32" s="2">
        <v>2315</v>
      </c>
      <c r="K32" s="2">
        <f>3440+772</f>
        <v>4212</v>
      </c>
      <c r="L32" s="2">
        <v>6933</v>
      </c>
      <c r="M32" s="2">
        <v>7089</v>
      </c>
      <c r="N32" s="2">
        <f>+M32/$M$3*12</f>
        <v>8506.8</v>
      </c>
      <c r="O32" s="2">
        <v>5700</v>
      </c>
      <c r="P32" s="2">
        <v>25000</v>
      </c>
      <c r="Q32" s="2">
        <v>15000</v>
      </c>
      <c r="R32" s="2">
        <v>15000</v>
      </c>
      <c r="S32" s="92">
        <f t="shared" si="0"/>
        <v>1.631578947368421</v>
      </c>
    </row>
    <row r="33" spans="1:19" ht="12.75">
      <c r="A33" t="s">
        <v>163</v>
      </c>
      <c r="B33" s="4">
        <v>52.33</v>
      </c>
      <c r="C33" s="2"/>
      <c r="D33" s="2">
        <v>685</v>
      </c>
      <c r="E33" s="2">
        <v>157</v>
      </c>
      <c r="F33" s="2"/>
      <c r="G33" s="2"/>
      <c r="H33" s="2">
        <v>144</v>
      </c>
      <c r="I33" s="2"/>
      <c r="J33" s="2"/>
      <c r="K33" s="2"/>
      <c r="L33" s="2"/>
      <c r="M33" s="2"/>
      <c r="N33" s="2">
        <f>+M33/$M$3*12</f>
        <v>0</v>
      </c>
      <c r="O33" s="2"/>
      <c r="P33" s="2">
        <v>820</v>
      </c>
      <c r="Q33" s="2">
        <v>820</v>
      </c>
      <c r="R33" s="2">
        <v>820</v>
      </c>
      <c r="S33" s="92" t="e">
        <f t="shared" si="0"/>
        <v>#DIV/0!</v>
      </c>
    </row>
    <row r="34" spans="1:19" ht="12.75">
      <c r="A34" t="s">
        <v>154</v>
      </c>
      <c r="B34" s="4">
        <v>52.35</v>
      </c>
      <c r="C34" s="2">
        <v>2769</v>
      </c>
      <c r="D34" s="2">
        <v>5458</v>
      </c>
      <c r="E34" s="2">
        <v>2466</v>
      </c>
      <c r="F34" s="2">
        <v>40</v>
      </c>
      <c r="G34" s="2"/>
      <c r="H34" s="2">
        <v>841</v>
      </c>
      <c r="I34" s="2">
        <v>1939</v>
      </c>
      <c r="J34" s="2">
        <v>2994</v>
      </c>
      <c r="K34" s="2">
        <v>2545</v>
      </c>
      <c r="L34" s="2">
        <v>7079</v>
      </c>
      <c r="M34" s="2">
        <v>3696</v>
      </c>
      <c r="N34" s="2">
        <f>+M34/$M$3*12</f>
        <v>4435.200000000001</v>
      </c>
      <c r="O34" s="2">
        <v>8960</v>
      </c>
      <c r="P34" s="2">
        <v>8900</v>
      </c>
      <c r="Q34" s="2">
        <v>3000</v>
      </c>
      <c r="R34" s="2">
        <v>3000</v>
      </c>
      <c r="S34" s="92">
        <f t="shared" si="0"/>
        <v>-0.6651785714285714</v>
      </c>
    </row>
    <row r="35" spans="1:19" ht="12.75">
      <c r="A35" t="s">
        <v>186</v>
      </c>
      <c r="B35" s="4">
        <v>52.3501</v>
      </c>
      <c r="C35" s="2"/>
      <c r="D35" s="2"/>
      <c r="E35" s="2">
        <v>527</v>
      </c>
      <c r="F35" s="2">
        <v>3991</v>
      </c>
      <c r="G35" s="2">
        <v>3125</v>
      </c>
      <c r="H35" s="2">
        <v>2692</v>
      </c>
      <c r="I35" s="2">
        <v>2537</v>
      </c>
      <c r="J35" s="2"/>
      <c r="K35" s="2">
        <v>1477</v>
      </c>
      <c r="L35" s="2">
        <v>2383</v>
      </c>
      <c r="M35" s="2">
        <v>2029</v>
      </c>
      <c r="N35" s="2">
        <v>2029</v>
      </c>
      <c r="O35" s="2">
        <v>3200</v>
      </c>
      <c r="P35" s="2">
        <v>3200</v>
      </c>
      <c r="Q35" s="2">
        <v>1500</v>
      </c>
      <c r="R35" s="2">
        <v>1500</v>
      </c>
      <c r="S35" s="92">
        <f t="shared" si="0"/>
        <v>-0.53125</v>
      </c>
    </row>
    <row r="36" spans="1:20" ht="12.75">
      <c r="A36" t="s">
        <v>516</v>
      </c>
      <c r="B36" s="4">
        <v>52.37</v>
      </c>
      <c r="C36" s="2"/>
      <c r="D36" s="2"/>
      <c r="E36" s="2">
        <v>451</v>
      </c>
      <c r="F36" s="2">
        <v>610</v>
      </c>
      <c r="G36" s="2"/>
      <c r="H36" s="2">
        <v>1015</v>
      </c>
      <c r="I36" s="2"/>
      <c r="J36" s="2">
        <v>570</v>
      </c>
      <c r="K36" s="2">
        <v>2535</v>
      </c>
      <c r="L36" s="2">
        <v>1790</v>
      </c>
      <c r="M36" s="2">
        <v>885</v>
      </c>
      <c r="N36" s="2">
        <v>1000</v>
      </c>
      <c r="O36" s="20">
        <v>1200</v>
      </c>
      <c r="P36" s="2">
        <v>1200</v>
      </c>
      <c r="Q36" s="20">
        <v>1200</v>
      </c>
      <c r="R36" s="20">
        <v>1200</v>
      </c>
      <c r="S36" s="92">
        <f t="shared" si="0"/>
        <v>0</v>
      </c>
      <c r="T36" s="33"/>
    </row>
    <row r="37" spans="1:19" ht="12.75">
      <c r="A37" t="s">
        <v>187</v>
      </c>
      <c r="B37" s="4">
        <v>52.3701</v>
      </c>
      <c r="C37" s="2"/>
      <c r="D37" s="2"/>
      <c r="E37" s="2">
        <v>850</v>
      </c>
      <c r="F37" s="2">
        <v>1590</v>
      </c>
      <c r="G37" s="2">
        <v>1050</v>
      </c>
      <c r="H37" s="2">
        <v>1420</v>
      </c>
      <c r="I37" s="2"/>
      <c r="J37" s="2">
        <v>215</v>
      </c>
      <c r="K37" s="2">
        <v>920</v>
      </c>
      <c r="L37" s="2">
        <v>795</v>
      </c>
      <c r="M37" s="2">
        <v>1175</v>
      </c>
      <c r="N37" s="2">
        <v>1175</v>
      </c>
      <c r="O37" s="2">
        <v>1200</v>
      </c>
      <c r="P37" s="2">
        <v>1200</v>
      </c>
      <c r="Q37" s="2">
        <v>800</v>
      </c>
      <c r="R37" s="2">
        <v>800</v>
      </c>
      <c r="S37" s="92">
        <f t="shared" si="0"/>
        <v>-0.3333333333333333</v>
      </c>
    </row>
    <row r="38" spans="1:19" ht="12.75" hidden="1">
      <c r="A38" t="s">
        <v>781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2"/>
    </row>
    <row r="39" spans="1:19" ht="12.75" hidden="1">
      <c r="A39" t="s">
        <v>782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-800</v>
      </c>
      <c r="P39" s="2"/>
      <c r="Q39" s="2"/>
      <c r="R39" s="2"/>
      <c r="S39" s="92"/>
    </row>
    <row r="40" spans="1:19" ht="12.75">
      <c r="A40" t="s">
        <v>92</v>
      </c>
      <c r="B40" s="4">
        <v>52.3704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8551</v>
      </c>
      <c r="N40" s="2">
        <v>8551</v>
      </c>
      <c r="O40" s="2">
        <v>6860</v>
      </c>
      <c r="P40" s="2"/>
      <c r="Q40" s="2"/>
      <c r="R40" s="2"/>
      <c r="S40" s="92"/>
    </row>
    <row r="41" spans="1:19" ht="12.75">
      <c r="A41" t="s">
        <v>847</v>
      </c>
      <c r="B41" s="4">
        <v>53.1319</v>
      </c>
      <c r="C41" s="2"/>
      <c r="D41" s="2"/>
      <c r="E41" s="2"/>
      <c r="F41" s="2"/>
      <c r="G41" s="2"/>
      <c r="H41" s="2"/>
      <c r="I41" s="2"/>
      <c r="J41" s="2"/>
      <c r="K41" s="2">
        <v>375</v>
      </c>
      <c r="L41" s="2">
        <v>4500</v>
      </c>
      <c r="M41" s="2">
        <v>4500</v>
      </c>
      <c r="N41" s="2">
        <v>4500</v>
      </c>
      <c r="O41" s="2">
        <v>4500</v>
      </c>
      <c r="P41" s="2">
        <v>4500</v>
      </c>
      <c r="Q41" s="2">
        <v>4500</v>
      </c>
      <c r="R41" s="2">
        <v>4500</v>
      </c>
      <c r="S41" s="92"/>
    </row>
    <row r="42" spans="1:20" ht="12.75">
      <c r="A42" t="s">
        <v>779</v>
      </c>
      <c r="B42" s="4">
        <v>52.1209</v>
      </c>
      <c r="C42" s="2"/>
      <c r="D42" s="2"/>
      <c r="E42" s="2"/>
      <c r="F42" s="2"/>
      <c r="G42" s="2"/>
      <c r="H42" s="2"/>
      <c r="I42" s="2"/>
      <c r="J42" s="2"/>
      <c r="K42" s="2"/>
      <c r="L42" s="2">
        <v>6000</v>
      </c>
      <c r="M42" s="2">
        <v>351995</v>
      </c>
      <c r="N42" s="2">
        <v>456855</v>
      </c>
      <c r="O42" s="2">
        <v>450000</v>
      </c>
      <c r="P42" s="2">
        <v>460000</v>
      </c>
      <c r="Q42" s="2">
        <v>460000</v>
      </c>
      <c r="R42" s="2">
        <v>460000</v>
      </c>
      <c r="S42" s="92"/>
      <c r="T42" s="6" t="s">
        <v>826</v>
      </c>
    </row>
    <row r="43" spans="1:19" ht="12.75">
      <c r="A43" t="s">
        <v>813</v>
      </c>
      <c r="B43" s="4">
        <v>53.14</v>
      </c>
      <c r="C43" s="2"/>
      <c r="D43" s="2"/>
      <c r="E43" s="2"/>
      <c r="F43" s="2"/>
      <c r="G43" s="2"/>
      <c r="H43" s="2"/>
      <c r="I43" s="2"/>
      <c r="J43" s="2"/>
      <c r="K43" s="2">
        <v>870</v>
      </c>
      <c r="L43" s="2">
        <f>1033+225</f>
        <v>1258</v>
      </c>
      <c r="M43" s="2">
        <v>966</v>
      </c>
      <c r="N43" s="2">
        <v>1000</v>
      </c>
      <c r="O43" s="2">
        <v>800</v>
      </c>
      <c r="P43" s="2">
        <v>2000</v>
      </c>
      <c r="Q43" s="2">
        <v>1000</v>
      </c>
      <c r="R43" s="2">
        <v>1000</v>
      </c>
      <c r="S43" s="92"/>
    </row>
    <row r="44" spans="1:19" ht="12.75">
      <c r="A44" t="s">
        <v>149</v>
      </c>
      <c r="B44" s="4">
        <v>53.171</v>
      </c>
      <c r="C44" s="2">
        <v>7150</v>
      </c>
      <c r="D44" s="2">
        <v>7650</v>
      </c>
      <c r="E44" s="2">
        <v>10750</v>
      </c>
      <c r="F44" s="2">
        <v>9807</v>
      </c>
      <c r="G44" s="2">
        <v>7981</v>
      </c>
      <c r="H44" s="2">
        <v>6359</v>
      </c>
      <c r="I44" s="2">
        <f>7985+754</f>
        <v>8739</v>
      </c>
      <c r="J44" s="2"/>
      <c r="K44" s="2">
        <f>8531+218</f>
        <v>8749</v>
      </c>
      <c r="L44" s="2">
        <v>4828</v>
      </c>
      <c r="M44" s="2">
        <v>4342</v>
      </c>
      <c r="N44" s="2">
        <f aca="true" t="shared" si="1" ref="N44:N51">+M44/$M$3*12</f>
        <v>5210.4</v>
      </c>
      <c r="O44" s="2">
        <v>5000</v>
      </c>
      <c r="P44" s="2">
        <v>25000</v>
      </c>
      <c r="Q44" s="2">
        <v>9000</v>
      </c>
      <c r="R44" s="2">
        <v>9000</v>
      </c>
      <c r="S44" s="92">
        <f aca="true" t="shared" si="2" ref="S44:S51">(R44-O44)/O44</f>
        <v>0.8</v>
      </c>
    </row>
    <row r="45" spans="1:19" ht="12.75">
      <c r="A45" t="s">
        <v>848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>
        <v>72</v>
      </c>
      <c r="M45" s="2"/>
      <c r="N45" s="2"/>
      <c r="O45" s="2"/>
      <c r="P45" s="2"/>
      <c r="Q45" s="2"/>
      <c r="R45" s="2"/>
      <c r="S45" s="92"/>
    </row>
    <row r="46" spans="1:19" ht="12.75">
      <c r="A46" t="s">
        <v>99</v>
      </c>
      <c r="B46" s="4">
        <v>53.1737</v>
      </c>
      <c r="C46" s="2"/>
      <c r="D46" s="2"/>
      <c r="E46" s="2"/>
      <c r="F46" s="2"/>
      <c r="G46" s="2"/>
      <c r="H46" s="2"/>
      <c r="I46" s="2"/>
      <c r="J46" s="2"/>
      <c r="K46" s="2"/>
      <c r="L46" s="2">
        <v>376</v>
      </c>
      <c r="M46" s="2"/>
      <c r="N46" s="2"/>
      <c r="O46" s="2"/>
      <c r="P46" s="2"/>
      <c r="Q46" s="2"/>
      <c r="R46" s="2"/>
      <c r="S46" s="92"/>
    </row>
    <row r="47" spans="1:19" ht="12.75">
      <c r="A47" t="s">
        <v>188</v>
      </c>
      <c r="B47" s="4">
        <v>53.175</v>
      </c>
      <c r="C47" s="2">
        <v>1924</v>
      </c>
      <c r="D47" s="2">
        <v>173</v>
      </c>
      <c r="E47" s="2">
        <v>619</v>
      </c>
      <c r="F47" s="2">
        <v>917</v>
      </c>
      <c r="G47" s="2">
        <v>236</v>
      </c>
      <c r="H47" s="2">
        <v>123</v>
      </c>
      <c r="I47" s="2">
        <v>562</v>
      </c>
      <c r="J47" s="2">
        <v>565</v>
      </c>
      <c r="K47" s="2">
        <v>54</v>
      </c>
      <c r="L47" s="2">
        <v>330</v>
      </c>
      <c r="M47" s="2">
        <v>15</v>
      </c>
      <c r="N47" s="2">
        <f t="shared" si="1"/>
        <v>18</v>
      </c>
      <c r="O47" s="2">
        <v>130</v>
      </c>
      <c r="P47" s="2">
        <v>130</v>
      </c>
      <c r="Q47" s="2">
        <v>130</v>
      </c>
      <c r="R47" s="2">
        <v>130</v>
      </c>
      <c r="S47" s="92">
        <f t="shared" si="2"/>
        <v>0</v>
      </c>
    </row>
    <row r="48" spans="1:19" ht="12.75">
      <c r="A48" t="s">
        <v>189</v>
      </c>
      <c r="B48" s="4">
        <v>53.176</v>
      </c>
      <c r="C48" s="2">
        <v>45</v>
      </c>
      <c r="D48" s="2">
        <v>22</v>
      </c>
      <c r="E48" s="2">
        <v>35</v>
      </c>
      <c r="F48" s="2">
        <v>101</v>
      </c>
      <c r="G48" s="2">
        <v>17</v>
      </c>
      <c r="H48" s="2">
        <v>23</v>
      </c>
      <c r="I48" s="2">
        <v>27</v>
      </c>
      <c r="J48" s="2">
        <v>22</v>
      </c>
      <c r="K48" s="2">
        <v>5</v>
      </c>
      <c r="L48" s="2">
        <v>75</v>
      </c>
      <c r="M48" s="2">
        <v>22</v>
      </c>
      <c r="N48" s="2">
        <f t="shared" si="1"/>
        <v>26.400000000000002</v>
      </c>
      <c r="O48" s="2">
        <v>30</v>
      </c>
      <c r="P48" s="2">
        <v>30</v>
      </c>
      <c r="Q48" s="2">
        <v>30</v>
      </c>
      <c r="R48" s="2">
        <v>30</v>
      </c>
      <c r="S48" s="92">
        <f t="shared" si="2"/>
        <v>0</v>
      </c>
    </row>
    <row r="49" spans="1:19" ht="12.75">
      <c r="A49" t="s">
        <v>190</v>
      </c>
      <c r="B49" s="4">
        <v>53.177</v>
      </c>
      <c r="C49" s="2">
        <v>1</v>
      </c>
      <c r="D49" s="2">
        <v>45</v>
      </c>
      <c r="E49" s="2">
        <v>89</v>
      </c>
      <c r="F49" s="2">
        <v>328</v>
      </c>
      <c r="G49" s="2">
        <v>196</v>
      </c>
      <c r="H49" s="2"/>
      <c r="I49" s="2"/>
      <c r="J49" s="2"/>
      <c r="K49" s="2"/>
      <c r="L49" s="2"/>
      <c r="M49" s="2"/>
      <c r="N49" s="2">
        <f t="shared" si="1"/>
        <v>0</v>
      </c>
      <c r="O49" s="2"/>
      <c r="P49" s="2"/>
      <c r="Q49" s="2"/>
      <c r="R49" s="2"/>
      <c r="S49" s="92" t="e">
        <f t="shared" si="2"/>
        <v>#DIV/0!</v>
      </c>
    </row>
    <row r="50" spans="1:19" ht="12.75">
      <c r="A50" t="s">
        <v>191</v>
      </c>
      <c r="B50" s="4">
        <v>53.178</v>
      </c>
      <c r="C50" s="2"/>
      <c r="D50" s="2"/>
      <c r="E50" s="2">
        <v>82</v>
      </c>
      <c r="F50" s="2">
        <v>153</v>
      </c>
      <c r="G50" s="2">
        <v>63</v>
      </c>
      <c r="H50" s="2">
        <v>63</v>
      </c>
      <c r="I50" s="2"/>
      <c r="J50" s="2"/>
      <c r="K50" s="2">
        <v>180</v>
      </c>
      <c r="L50" s="2"/>
      <c r="M50" s="2">
        <v>73</v>
      </c>
      <c r="N50" s="2">
        <f t="shared" si="1"/>
        <v>87.6</v>
      </c>
      <c r="O50" s="2"/>
      <c r="P50" s="2"/>
      <c r="Q50" s="2"/>
      <c r="R50" s="2"/>
      <c r="S50" s="92" t="e">
        <f t="shared" si="2"/>
        <v>#DIV/0!</v>
      </c>
    </row>
    <row r="51" spans="1:19" ht="12.75">
      <c r="A51" t="s">
        <v>179</v>
      </c>
      <c r="B51" s="4">
        <v>53.179</v>
      </c>
      <c r="C51" s="2">
        <v>356</v>
      </c>
      <c r="D51" s="2">
        <v>557</v>
      </c>
      <c r="E51" s="2">
        <v>481</v>
      </c>
      <c r="F51" s="2">
        <v>1172</v>
      </c>
      <c r="G51" s="2">
        <v>574</v>
      </c>
      <c r="H51" s="2">
        <v>253</v>
      </c>
      <c r="I51" s="2">
        <v>879</v>
      </c>
      <c r="J51" s="2">
        <v>364</v>
      </c>
      <c r="K51" s="2">
        <v>927</v>
      </c>
      <c r="L51" s="2">
        <v>1743</v>
      </c>
      <c r="M51" s="2">
        <v>300</v>
      </c>
      <c r="N51" s="2">
        <f t="shared" si="1"/>
        <v>360</v>
      </c>
      <c r="O51" s="2">
        <v>2000</v>
      </c>
      <c r="P51" s="2">
        <v>2000</v>
      </c>
      <c r="Q51" s="2">
        <v>1500</v>
      </c>
      <c r="R51" s="2">
        <v>1500</v>
      </c>
      <c r="S51" s="92">
        <f t="shared" si="2"/>
        <v>-0.25</v>
      </c>
    </row>
    <row r="52" spans="2:19" ht="10.5" customHeight="1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2"/>
    </row>
    <row r="53" spans="1:19" ht="12.75">
      <c r="A53" t="s">
        <v>389</v>
      </c>
      <c r="B53" s="4">
        <v>54.13</v>
      </c>
      <c r="C53" s="2"/>
      <c r="D53" s="2"/>
      <c r="E53" s="2">
        <v>325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92"/>
    </row>
    <row r="54" spans="1:19" ht="12.75">
      <c r="A54" t="s">
        <v>780</v>
      </c>
      <c r="B54" s="4"/>
      <c r="C54" s="2"/>
      <c r="D54" s="2"/>
      <c r="E54" s="2"/>
      <c r="F54" s="2"/>
      <c r="G54" s="2"/>
      <c r="H54" s="2"/>
      <c r="I54" s="2"/>
      <c r="J54" s="2"/>
      <c r="K54" s="2"/>
      <c r="L54" s="2">
        <v>64420</v>
      </c>
      <c r="M54" s="2"/>
      <c r="N54" s="2"/>
      <c r="O54" s="2"/>
      <c r="P54" s="2"/>
      <c r="Q54" s="2"/>
      <c r="R54" s="2"/>
      <c r="S54" s="92"/>
    </row>
    <row r="55" spans="1:20" ht="12.75">
      <c r="A55" t="s">
        <v>373</v>
      </c>
      <c r="B55" s="4">
        <v>54.22</v>
      </c>
      <c r="C55" s="2"/>
      <c r="D55" s="2"/>
      <c r="F55" s="2">
        <v>1800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2"/>
      <c r="T55" s="2"/>
    </row>
    <row r="56" spans="1:20" ht="12.75">
      <c r="A56" t="s">
        <v>100</v>
      </c>
      <c r="B56" s="4"/>
      <c r="C56" s="2"/>
      <c r="D56" s="2"/>
      <c r="F56" s="2"/>
      <c r="G56" s="2"/>
      <c r="H56" s="2"/>
      <c r="I56" s="2"/>
      <c r="J56" s="2"/>
      <c r="K56" s="2"/>
      <c r="L56" s="2"/>
      <c r="M56" s="2"/>
      <c r="N56" s="2">
        <v>7000</v>
      </c>
      <c r="O56" s="20">
        <v>7000</v>
      </c>
      <c r="P56" s="2"/>
      <c r="Q56" s="2"/>
      <c r="R56" s="2"/>
      <c r="S56" s="92"/>
      <c r="T56" s="6"/>
    </row>
    <row r="57" spans="1:19" ht="12.75">
      <c r="A57" t="s">
        <v>230</v>
      </c>
      <c r="B57" s="4">
        <v>54.24</v>
      </c>
      <c r="F57" s="2">
        <v>2520</v>
      </c>
      <c r="G57" s="2"/>
      <c r="H57" s="2">
        <v>3022</v>
      </c>
      <c r="I57" s="2">
        <v>2052</v>
      </c>
      <c r="J57" s="2"/>
      <c r="K57" s="2"/>
      <c r="L57" s="2">
        <v>10443</v>
      </c>
      <c r="M57" s="2">
        <v>1791</v>
      </c>
      <c r="N57" s="2">
        <v>1791</v>
      </c>
      <c r="O57" s="2">
        <v>1800</v>
      </c>
      <c r="P57" s="2"/>
      <c r="Q57" s="2"/>
      <c r="R57" s="2"/>
      <c r="S57" s="92"/>
    </row>
    <row r="58" spans="1:19" ht="12.75" hidden="1">
      <c r="A58" t="s">
        <v>100</v>
      </c>
      <c r="B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92"/>
    </row>
    <row r="59" spans="1:19" ht="12.75">
      <c r="A59" t="s">
        <v>89</v>
      </c>
      <c r="B59" s="4"/>
      <c r="F59" s="2"/>
      <c r="G59" s="2"/>
      <c r="H59" s="2"/>
      <c r="I59" s="2"/>
      <c r="J59" s="2"/>
      <c r="K59" s="2"/>
      <c r="L59" s="2"/>
      <c r="M59" s="2">
        <v>2619</v>
      </c>
      <c r="N59" s="2">
        <v>2619</v>
      </c>
      <c r="O59" s="2">
        <v>3000</v>
      </c>
      <c r="P59" s="2"/>
      <c r="Q59" s="2"/>
      <c r="R59" s="2"/>
      <c r="S59" s="92"/>
    </row>
    <row r="60" spans="1:20" ht="12.75">
      <c r="A60" t="s">
        <v>192</v>
      </c>
      <c r="B60" s="4">
        <v>54.25</v>
      </c>
      <c r="C60" s="2"/>
      <c r="D60" s="2"/>
      <c r="E60" s="2">
        <v>4378</v>
      </c>
      <c r="F60" s="2">
        <v>6902</v>
      </c>
      <c r="G60" s="2"/>
      <c r="H60" s="2">
        <v>30530</v>
      </c>
      <c r="I60" s="2">
        <v>9000</v>
      </c>
      <c r="J60" s="2">
        <v>12735</v>
      </c>
      <c r="K60" s="2"/>
      <c r="L60" s="2"/>
      <c r="M60" s="2"/>
      <c r="N60" s="2"/>
      <c r="O60" s="2"/>
      <c r="P60" s="2"/>
      <c r="Q60" s="2"/>
      <c r="R60" s="2"/>
      <c r="S60" s="92"/>
      <c r="T60" s="2"/>
    </row>
    <row r="61" spans="1:20" ht="12.75" hidden="1">
      <c r="A61" t="s">
        <v>192</v>
      </c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52"/>
      <c r="T61" s="2"/>
    </row>
    <row r="62" spans="1:19" ht="12.75">
      <c r="A62" t="s">
        <v>849</v>
      </c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52"/>
    </row>
    <row r="63" spans="1:19" ht="12.75" hidden="1">
      <c r="A63" t="s">
        <v>193</v>
      </c>
      <c r="B63" s="4">
        <v>58.12</v>
      </c>
      <c r="C63" s="2">
        <v>1318</v>
      </c>
      <c r="D63" s="2">
        <v>24558</v>
      </c>
      <c r="E63" s="2">
        <v>11011</v>
      </c>
      <c r="F63" s="2">
        <v>8541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52"/>
    </row>
    <row r="65" spans="1:19" ht="12.75">
      <c r="A65" s="6" t="s">
        <v>116</v>
      </c>
      <c r="B65" s="6"/>
      <c r="C65" s="7">
        <f aca="true" t="shared" si="3" ref="C65:I65">SUM(C7:C64)</f>
        <v>157620</v>
      </c>
      <c r="D65" s="8">
        <f t="shared" si="3"/>
        <v>221707</v>
      </c>
      <c r="E65" s="8">
        <f t="shared" si="3"/>
        <v>233454</v>
      </c>
      <c r="F65" s="8">
        <f t="shared" si="3"/>
        <v>278053</v>
      </c>
      <c r="G65" s="8">
        <f t="shared" si="3"/>
        <v>229493</v>
      </c>
      <c r="H65" s="8">
        <f t="shared" si="3"/>
        <v>229805</v>
      </c>
      <c r="I65" s="8">
        <f t="shared" si="3"/>
        <v>258872</v>
      </c>
      <c r="J65" s="8">
        <v>249921</v>
      </c>
      <c r="K65" s="8">
        <f aca="true" t="shared" si="4" ref="K65:R65">SUM(K7:K64)</f>
        <v>263070</v>
      </c>
      <c r="L65" s="8">
        <v>420252</v>
      </c>
      <c r="M65" s="8">
        <f>SUM(M7:M64)</f>
        <v>711279.64</v>
      </c>
      <c r="N65" s="8">
        <f t="shared" si="4"/>
        <v>877656.3164</v>
      </c>
      <c r="O65" s="8">
        <f>SUM(O7:O64)</f>
        <v>906250.4058325</v>
      </c>
      <c r="P65" s="8">
        <f t="shared" si="4"/>
        <v>981562.5</v>
      </c>
      <c r="Q65" s="8">
        <f t="shared" si="4"/>
        <v>825318.15674</v>
      </c>
      <c r="R65" s="8">
        <f t="shared" si="4"/>
        <v>825318.15674</v>
      </c>
      <c r="S65" s="53">
        <f>(R65-O65)/O65</f>
        <v>-0.08930451073084371</v>
      </c>
    </row>
    <row r="67" spans="15:17" ht="12.75">
      <c r="O67" s="22" t="s">
        <v>488</v>
      </c>
      <c r="P67" s="22"/>
      <c r="Q67" s="56">
        <f>P65-Q65</f>
        <v>156244.34326</v>
      </c>
    </row>
    <row r="68" spans="10:17" ht="12.75">
      <c r="J68" s="2">
        <f>L57+L54</f>
        <v>74863</v>
      </c>
      <c r="O68" s="22" t="s">
        <v>761</v>
      </c>
      <c r="P68" s="22"/>
      <c r="Q68" s="56">
        <f>O65-Q65</f>
        <v>80932.24909249996</v>
      </c>
    </row>
    <row r="69" spans="15:17" ht="12.75">
      <c r="O69" s="22" t="s">
        <v>436</v>
      </c>
      <c r="P69" s="22"/>
      <c r="Q69" s="56">
        <f>Q65-R65</f>
        <v>0</v>
      </c>
    </row>
    <row r="70" spans="15:17" ht="12.75">
      <c r="O70" s="22"/>
      <c r="P70" s="22"/>
      <c r="Q70" s="56"/>
    </row>
    <row r="71" spans="1:17" ht="12.75">
      <c r="A71" t="s">
        <v>1006</v>
      </c>
      <c r="O71" s="22"/>
      <c r="P71" s="22"/>
      <c r="Q71" s="56"/>
    </row>
    <row r="72" ht="12.75">
      <c r="A72" t="s">
        <v>846</v>
      </c>
    </row>
    <row r="73" ht="12.75">
      <c r="A73" t="s">
        <v>103</v>
      </c>
    </row>
    <row r="74" ht="12.75">
      <c r="A74" t="s">
        <v>91</v>
      </c>
    </row>
    <row r="75" ht="12.75">
      <c r="A75" s="22" t="s">
        <v>1009</v>
      </c>
    </row>
    <row r="76" ht="12.75">
      <c r="A76" t="s">
        <v>1011</v>
      </c>
    </row>
    <row r="77" ht="12.75">
      <c r="A77" s="33" t="s">
        <v>1012</v>
      </c>
    </row>
    <row r="79" ht="12.75">
      <c r="A79" s="6" t="s">
        <v>1029</v>
      </c>
    </row>
    <row r="90" ht="12.75">
      <c r="S90" s="2"/>
    </row>
    <row r="91" ht="12.75">
      <c r="S91" s="2"/>
    </row>
    <row r="92" ht="12.75">
      <c r="S92" s="2"/>
    </row>
    <row r="93" ht="12.75">
      <c r="S93" s="2"/>
    </row>
    <row r="94" ht="12.75">
      <c r="S94" s="2"/>
    </row>
    <row r="95" ht="12.75">
      <c r="S95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59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92"/>
  <sheetViews>
    <sheetView zoomScale="75" zoomScaleNormal="75" workbookViewId="0" topLeftCell="A1">
      <selection activeCell="T13" sqref="T1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8.7109375" style="0" bestFit="1" customWidth="1"/>
    <col min="14" max="14" width="9.7109375" style="0" bestFit="1" customWidth="1"/>
    <col min="15" max="15" width="12.140625" style="0" customWidth="1"/>
    <col min="16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444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58" t="s">
        <v>115</v>
      </c>
    </row>
    <row r="7" spans="1:21" ht="12.75">
      <c r="A7" t="s">
        <v>688</v>
      </c>
      <c r="B7" s="4">
        <v>51.27</v>
      </c>
      <c r="C7" s="2">
        <v>80611</v>
      </c>
      <c r="D7" s="2">
        <v>83701</v>
      </c>
      <c r="E7" s="2">
        <v>90875</v>
      </c>
      <c r="F7" s="2">
        <v>107136</v>
      </c>
      <c r="G7" s="2">
        <v>150774</v>
      </c>
      <c r="H7" s="2">
        <v>123271</v>
      </c>
      <c r="I7" s="2">
        <v>130000</v>
      </c>
      <c r="J7" s="2">
        <v>121720</v>
      </c>
      <c r="K7" s="2">
        <v>147784</v>
      </c>
      <c r="L7" s="2">
        <v>105301</v>
      </c>
      <c r="M7" s="2">
        <v>139807</v>
      </c>
      <c r="N7" s="2">
        <v>140000</v>
      </c>
      <c r="O7" s="2">
        <v>120000</v>
      </c>
      <c r="P7" s="2">
        <v>140000</v>
      </c>
      <c r="Q7" s="2">
        <v>140000</v>
      </c>
      <c r="R7" s="2">
        <v>140000</v>
      </c>
      <c r="S7" s="52">
        <f>(R7-O7)/O7</f>
        <v>0.16666666666666666</v>
      </c>
      <c r="T7" t="s">
        <v>514</v>
      </c>
      <c r="U7" t="s">
        <v>822</v>
      </c>
    </row>
    <row r="8" spans="1:19" ht="12.75">
      <c r="A8" t="s">
        <v>500</v>
      </c>
      <c r="B8" s="4">
        <v>52.311</v>
      </c>
      <c r="C8" s="2">
        <v>90430</v>
      </c>
      <c r="D8" s="2">
        <v>92935</v>
      </c>
      <c r="E8" s="2">
        <v>112567</v>
      </c>
      <c r="F8" s="2">
        <v>108572</v>
      </c>
      <c r="G8" s="2">
        <v>114428</v>
      </c>
      <c r="H8" s="2">
        <v>149320</v>
      </c>
      <c r="I8" s="2">
        <v>147394</v>
      </c>
      <c r="J8" s="2">
        <f>14043+168520</f>
        <v>182563</v>
      </c>
      <c r="K8" s="2">
        <v>175539</v>
      </c>
      <c r="L8" s="2">
        <v>183871</v>
      </c>
      <c r="M8" s="2"/>
      <c r="N8" s="2"/>
      <c r="O8" s="2"/>
      <c r="P8" s="2"/>
      <c r="Q8" s="2"/>
      <c r="R8" s="2"/>
      <c r="S8" s="52">
        <v>0.22919549363085504</v>
      </c>
    </row>
    <row r="9" spans="1:20" ht="12.75">
      <c r="A9" t="s">
        <v>882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>
        <v>122726</v>
      </c>
      <c r="N9" s="2">
        <v>122726</v>
      </c>
      <c r="O9" s="2">
        <v>128000</v>
      </c>
      <c r="P9" s="2"/>
      <c r="Q9" s="2"/>
      <c r="R9" s="2"/>
      <c r="S9" s="52"/>
      <c r="T9" t="s">
        <v>371</v>
      </c>
    </row>
    <row r="10" spans="1:21" ht="12.75">
      <c r="A10" t="s">
        <v>883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142202</v>
      </c>
      <c r="N10" s="20">
        <v>142202</v>
      </c>
      <c r="O10" s="2">
        <v>190000</v>
      </c>
      <c r="P10" s="20">
        <v>150000</v>
      </c>
      <c r="Q10" s="20">
        <v>150000</v>
      </c>
      <c r="R10" s="20">
        <v>150000</v>
      </c>
      <c r="S10" s="52"/>
      <c r="T10" s="6" t="s">
        <v>84</v>
      </c>
      <c r="U10" t="s">
        <v>822</v>
      </c>
    </row>
    <row r="11" spans="1:19" ht="12.75">
      <c r="A11" t="s">
        <v>867</v>
      </c>
      <c r="B11" s="4">
        <v>52.3197</v>
      </c>
      <c r="C11" s="2"/>
      <c r="D11" s="2"/>
      <c r="E11" s="2"/>
      <c r="F11" s="2"/>
      <c r="G11" s="2"/>
      <c r="H11" s="2"/>
      <c r="I11" s="2"/>
      <c r="J11" s="2"/>
      <c r="K11" s="2">
        <v>1368</v>
      </c>
      <c r="L11" s="2">
        <v>2297</v>
      </c>
      <c r="M11" s="2">
        <v>191</v>
      </c>
      <c r="N11" s="2">
        <v>3000</v>
      </c>
      <c r="O11" s="2">
        <v>3000</v>
      </c>
      <c r="P11" s="2">
        <v>3000</v>
      </c>
      <c r="Q11" s="2">
        <v>3000</v>
      </c>
      <c r="R11" s="2">
        <v>3000</v>
      </c>
      <c r="S11" s="52"/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2"/>
    </row>
    <row r="13" spans="1:19" ht="12.75">
      <c r="A13" t="s">
        <v>637</v>
      </c>
      <c r="B13" s="4"/>
      <c r="C13" s="2"/>
      <c r="D13" s="2"/>
      <c r="E13" s="2"/>
      <c r="F13" s="2"/>
      <c r="G13" s="2"/>
      <c r="H13" s="2"/>
      <c r="I13" s="2">
        <f>700+108851</f>
        <v>109551</v>
      </c>
      <c r="J13" s="2"/>
      <c r="K13" s="2"/>
      <c r="L13" s="2"/>
      <c r="M13" s="2"/>
      <c r="N13" s="2"/>
      <c r="O13" s="2"/>
      <c r="P13" s="2"/>
      <c r="Q13" s="2"/>
      <c r="R13" s="2"/>
      <c r="S13" s="52"/>
    </row>
    <row r="14" spans="1:19" ht="12.75">
      <c r="A14" t="s">
        <v>729</v>
      </c>
      <c r="B14" s="4"/>
      <c r="C14" s="2"/>
      <c r="D14" s="2"/>
      <c r="E14" s="2"/>
      <c r="F14" s="2"/>
      <c r="G14" s="2"/>
      <c r="H14" s="2"/>
      <c r="I14" s="2">
        <v>39377</v>
      </c>
      <c r="J14" s="2">
        <v>74723</v>
      </c>
      <c r="K14" s="2"/>
      <c r="L14" s="2"/>
      <c r="M14" s="2"/>
      <c r="N14" s="2"/>
      <c r="O14" s="2"/>
      <c r="P14" s="2"/>
      <c r="Q14" s="2"/>
      <c r="R14" s="2"/>
      <c r="S14" s="52"/>
    </row>
    <row r="15" spans="1:19" ht="12.75">
      <c r="A15" t="s">
        <v>730</v>
      </c>
      <c r="B15" s="4"/>
      <c r="C15" s="2"/>
      <c r="D15" s="2"/>
      <c r="E15" s="2"/>
      <c r="F15" s="2"/>
      <c r="G15" s="2"/>
      <c r="H15" s="2"/>
      <c r="I15" s="2">
        <f>14817+200</f>
        <v>15017</v>
      </c>
      <c r="J15" s="2">
        <v>69338</v>
      </c>
      <c r="K15" s="2"/>
      <c r="L15" s="2"/>
      <c r="M15" s="2"/>
      <c r="N15" s="2"/>
      <c r="O15" s="2"/>
      <c r="P15" s="2"/>
      <c r="Q15" s="2"/>
      <c r="R15" s="2"/>
      <c r="S15" s="52"/>
    </row>
    <row r="16" spans="1:19" ht="12.75">
      <c r="A16" t="s">
        <v>802</v>
      </c>
      <c r="B16" s="4"/>
      <c r="C16" s="2"/>
      <c r="D16" s="2"/>
      <c r="E16" s="2"/>
      <c r="F16" s="2"/>
      <c r="G16" s="2"/>
      <c r="H16" s="2"/>
      <c r="I16" s="2"/>
      <c r="J16" s="2">
        <v>1083</v>
      </c>
      <c r="K16" s="2">
        <v>14798</v>
      </c>
      <c r="L16" s="2"/>
      <c r="M16" s="2"/>
      <c r="N16" s="2"/>
      <c r="O16" s="2"/>
      <c r="P16" s="2"/>
      <c r="Q16" s="2"/>
      <c r="R16" s="2"/>
      <c r="S16" s="52"/>
    </row>
    <row r="17" spans="1:19" ht="12.75">
      <c r="A17" t="s">
        <v>803</v>
      </c>
      <c r="B17" s="4"/>
      <c r="C17" s="2"/>
      <c r="D17" s="2"/>
      <c r="E17" s="2"/>
      <c r="F17" s="2"/>
      <c r="G17" s="2"/>
      <c r="H17" s="2"/>
      <c r="I17" s="2"/>
      <c r="J17" s="2">
        <v>11143</v>
      </c>
      <c r="K17" s="2"/>
      <c r="L17" s="2"/>
      <c r="M17" s="2"/>
      <c r="N17" s="2"/>
      <c r="O17" s="2"/>
      <c r="P17" s="2"/>
      <c r="Q17" s="2"/>
      <c r="R17" s="2"/>
      <c r="S17" s="52"/>
    </row>
    <row r="18" spans="1:20" ht="12.75">
      <c r="A18" t="s">
        <v>51</v>
      </c>
      <c r="B18" s="4">
        <v>53.1752</v>
      </c>
      <c r="C18" s="2"/>
      <c r="D18" s="2"/>
      <c r="E18" s="2"/>
      <c r="F18" s="2"/>
      <c r="G18" s="2">
        <v>511</v>
      </c>
      <c r="H18" s="2">
        <v>3561</v>
      </c>
      <c r="I18" s="2">
        <v>2906</v>
      </c>
      <c r="J18" s="2">
        <v>1332</v>
      </c>
      <c r="K18" s="2">
        <v>6784</v>
      </c>
      <c r="L18" s="2">
        <f>16776+1250</f>
        <v>18026</v>
      </c>
      <c r="M18" s="2">
        <v>10838</v>
      </c>
      <c r="N18" s="2">
        <v>10838</v>
      </c>
      <c r="O18" s="2">
        <v>4000</v>
      </c>
      <c r="P18" s="2">
        <v>4000</v>
      </c>
      <c r="Q18" s="2">
        <v>4000</v>
      </c>
      <c r="R18" s="2">
        <v>4000</v>
      </c>
      <c r="S18" s="52"/>
      <c r="T18" t="s">
        <v>582</v>
      </c>
    </row>
    <row r="19" spans="1:19" ht="12.75">
      <c r="A19" t="s">
        <v>814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2"/>
    </row>
    <row r="20" spans="1:19" ht="12.75">
      <c r="A20" s="6" t="s">
        <v>116</v>
      </c>
      <c r="B20" s="6"/>
      <c r="C20" s="8">
        <f>SUM(C7:C8)</f>
        <v>171041</v>
      </c>
      <c r="D20" s="8">
        <f>SUM(D7:D8)</f>
        <v>176636</v>
      </c>
      <c r="E20" s="8">
        <f>SUM(E7:E18)</f>
        <v>203442</v>
      </c>
      <c r="F20" s="8">
        <f>SUM(F7:F18)</f>
        <v>215708</v>
      </c>
      <c r="G20" s="8">
        <f>SUM(G7:G18)</f>
        <v>265713</v>
      </c>
      <c r="H20" s="8">
        <f>SUM(H7:H18)</f>
        <v>276152</v>
      </c>
      <c r="I20" s="8">
        <f>SUM(I7:I18)</f>
        <v>444245</v>
      </c>
      <c r="J20" s="8">
        <v>435633</v>
      </c>
      <c r="K20" s="8">
        <f aca="true" t="shared" si="0" ref="K20:R20">SUM(K7:K19)</f>
        <v>346273</v>
      </c>
      <c r="L20" s="8">
        <v>309495</v>
      </c>
      <c r="M20" s="8">
        <f t="shared" si="0"/>
        <v>415764</v>
      </c>
      <c r="N20" s="8">
        <f t="shared" si="0"/>
        <v>418766</v>
      </c>
      <c r="O20" s="8">
        <f t="shared" si="0"/>
        <v>445000</v>
      </c>
      <c r="P20" s="8">
        <f t="shared" si="0"/>
        <v>297000</v>
      </c>
      <c r="Q20" s="8">
        <f t="shared" si="0"/>
        <v>297000</v>
      </c>
      <c r="R20" s="8">
        <f t="shared" si="0"/>
        <v>297000</v>
      </c>
      <c r="S20" s="53">
        <f>(R20-O20)/O20</f>
        <v>-0.3325842696629214</v>
      </c>
    </row>
    <row r="21" spans="3:19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2"/>
    </row>
    <row r="22" spans="3:19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2" t="s">
        <v>488</v>
      </c>
      <c r="P22" s="22"/>
      <c r="Q22" s="56">
        <f>P20-Q20</f>
        <v>0</v>
      </c>
      <c r="R22" s="2"/>
      <c r="S22" s="52"/>
    </row>
    <row r="23" spans="15:19" ht="12.75">
      <c r="O23" s="22" t="s">
        <v>761</v>
      </c>
      <c r="P23" s="22"/>
      <c r="Q23" s="56">
        <f>O20-Q20</f>
        <v>148000</v>
      </c>
      <c r="S23" s="52"/>
    </row>
    <row r="24" spans="15:19" ht="12.75">
      <c r="O24" s="22" t="s">
        <v>436</v>
      </c>
      <c r="P24" s="22"/>
      <c r="Q24" s="56">
        <f>Q20-R20</f>
        <v>0</v>
      </c>
      <c r="S24" s="52"/>
    </row>
    <row r="25" spans="15:19" ht="12.75">
      <c r="O25" s="22"/>
      <c r="P25" s="22"/>
      <c r="Q25" s="56"/>
      <c r="S25" s="52"/>
    </row>
    <row r="26" spans="1:19" ht="12.75">
      <c r="A26" t="s">
        <v>583</v>
      </c>
      <c r="S26" s="105" t="s">
        <v>586</v>
      </c>
    </row>
    <row r="27" spans="1:19" ht="12.75">
      <c r="A27" t="s">
        <v>584</v>
      </c>
      <c r="E27" s="104">
        <f aca="true" t="shared" si="1" ref="E27:K28">(E7-D7)/D7</f>
        <v>0.08570984814996237</v>
      </c>
      <c r="F27" s="104">
        <f t="shared" si="1"/>
        <v>0.17893810178817057</v>
      </c>
      <c r="G27" s="104">
        <f>(G7-F7)/F7</f>
        <v>0.4073140681003584</v>
      </c>
      <c r="H27" s="104">
        <f>(H7-G7)/G7</f>
        <v>-0.18241208696459602</v>
      </c>
      <c r="I27" s="104">
        <f>(I7-H7)/H7</f>
        <v>0.05458704804860835</v>
      </c>
      <c r="J27" s="104">
        <f>(J7-I7)/I7</f>
        <v>-0.06369230769230769</v>
      </c>
      <c r="K27" s="104">
        <f>(K7-J7)/J7</f>
        <v>0.2141307919815971</v>
      </c>
      <c r="L27" s="104"/>
      <c r="S27" s="52">
        <f>SUM(E27:M27)/5</f>
        <v>0.13891509268235863</v>
      </c>
    </row>
    <row r="28" spans="1:19" ht="12.75">
      <c r="A28" t="s">
        <v>585</v>
      </c>
      <c r="E28" s="104">
        <f t="shared" si="1"/>
        <v>0.21124441814171194</v>
      </c>
      <c r="F28" s="104">
        <f t="shared" si="1"/>
        <v>-0.03548997485941706</v>
      </c>
      <c r="G28" s="104">
        <f t="shared" si="1"/>
        <v>0.0539365582286409</v>
      </c>
      <c r="H28" s="104">
        <f t="shared" si="1"/>
        <v>0.3049253679169434</v>
      </c>
      <c r="I28" s="104">
        <f t="shared" si="1"/>
        <v>-0.012898473077953389</v>
      </c>
      <c r="J28" s="104">
        <f t="shared" si="1"/>
        <v>0.23860537063923903</v>
      </c>
      <c r="K28" s="104">
        <f t="shared" si="1"/>
        <v>-0.03847438966274656</v>
      </c>
      <c r="L28" s="104"/>
      <c r="S28" s="52">
        <f>SUM(E28:M28)/5</f>
        <v>0.14436977546528365</v>
      </c>
    </row>
    <row r="29" spans="5:19" ht="12.75">
      <c r="E29" s="104"/>
      <c r="F29" s="104"/>
      <c r="G29" s="104"/>
      <c r="H29" s="104"/>
      <c r="I29" s="104"/>
      <c r="J29" s="104"/>
      <c r="K29" s="104"/>
      <c r="L29" s="104"/>
      <c r="S29" s="52"/>
    </row>
    <row r="30" spans="1:21" ht="12.75">
      <c r="A30" t="s">
        <v>884</v>
      </c>
      <c r="S30" s="52"/>
      <c r="U30" t="s">
        <v>683</v>
      </c>
    </row>
    <row r="31" spans="1:19" ht="12.75">
      <c r="A31" t="s">
        <v>14</v>
      </c>
      <c r="S31" s="52"/>
    </row>
    <row r="32" spans="1:19" ht="12.75">
      <c r="A32" t="s">
        <v>93</v>
      </c>
      <c r="S32" s="52"/>
    </row>
    <row r="33" spans="1:19" ht="12.75">
      <c r="A33" t="s">
        <v>52</v>
      </c>
      <c r="S33" s="52"/>
    </row>
    <row r="34" spans="1:19" ht="12.75">
      <c r="A34" t="s">
        <v>82</v>
      </c>
      <c r="S34" s="52"/>
    </row>
    <row r="35" spans="1:19" ht="12.75">
      <c r="A35" t="s">
        <v>83</v>
      </c>
      <c r="S35" s="52"/>
    </row>
    <row r="36" spans="1:19" ht="12.75">
      <c r="A36" t="s">
        <v>1057</v>
      </c>
      <c r="S36" s="52"/>
    </row>
    <row r="37" spans="1:19" ht="12.75">
      <c r="A37" t="s">
        <v>31</v>
      </c>
      <c r="S37" s="52"/>
    </row>
    <row r="38" ht="12.75">
      <c r="S38" s="52"/>
    </row>
    <row r="39" ht="12.75">
      <c r="S39" s="52"/>
    </row>
    <row r="40" spans="1:19" ht="12.75">
      <c r="A40" s="6"/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52" ht="12.75">
      <c r="S52" s="5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</sheetData>
  <printOptions gridLines="1"/>
  <pageMargins left="0.25" right="0.25" top="1" bottom="0.55" header="0.5" footer="0.25"/>
  <pageSetup fitToHeight="1" fitToWidth="1" horizontalDpi="300" verticalDpi="300" orientation="landscape" scale="65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78"/>
  <sheetViews>
    <sheetView zoomScale="75" zoomScaleNormal="75" workbookViewId="0" topLeftCell="A1">
      <selection activeCell="R7" sqref="R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4" width="11.7109375" style="0" hidden="1" customWidth="1"/>
    <col min="5" max="5" width="1.7109375" style="0" hidden="1" customWidth="1"/>
    <col min="6" max="8" width="11.7109375" style="0" hidden="1" customWidth="1"/>
    <col min="9" max="9" width="8.0039062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700</v>
      </c>
      <c r="M3" s="57">
        <v>6</v>
      </c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2:19" ht="12.75">
      <c r="B5" s="59"/>
      <c r="C5" s="1"/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445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1:19" ht="12.75">
      <c r="A7" t="s">
        <v>342</v>
      </c>
      <c r="B7" s="4">
        <v>52.124</v>
      </c>
      <c r="C7" s="2">
        <v>35584</v>
      </c>
      <c r="D7" s="2">
        <v>47933</v>
      </c>
      <c r="E7" s="2">
        <v>44439</v>
      </c>
      <c r="F7" s="2">
        <v>48404</v>
      </c>
      <c r="G7" s="2">
        <v>53202</v>
      </c>
      <c r="H7" s="2">
        <v>40704</v>
      </c>
      <c r="I7" s="2">
        <v>33258</v>
      </c>
      <c r="J7" s="2">
        <v>37633</v>
      </c>
      <c r="K7" s="2">
        <v>36914</v>
      </c>
      <c r="L7" s="2">
        <v>41858</v>
      </c>
      <c r="M7" s="2">
        <v>38307</v>
      </c>
      <c r="N7" s="2">
        <v>39000</v>
      </c>
      <c r="O7" s="2">
        <v>42000</v>
      </c>
      <c r="P7" s="2">
        <v>42000</v>
      </c>
      <c r="Q7" s="2">
        <v>42000</v>
      </c>
      <c r="R7" s="2">
        <v>42000</v>
      </c>
      <c r="S7" s="52">
        <f>(R7-O7)/O7</f>
        <v>0</v>
      </c>
    </row>
    <row r="8" spans="1:19" ht="12.75">
      <c r="A8" t="s">
        <v>828</v>
      </c>
      <c r="B8" s="4">
        <v>52.1427</v>
      </c>
      <c r="C8" s="2"/>
      <c r="D8" s="2"/>
      <c r="E8" s="2"/>
      <c r="F8" s="2"/>
      <c r="G8" s="2">
        <v>3911</v>
      </c>
      <c r="H8" s="2"/>
      <c r="I8" s="2"/>
      <c r="J8" s="2"/>
      <c r="K8" s="2">
        <v>5000</v>
      </c>
      <c r="L8" s="2"/>
      <c r="M8" s="2"/>
      <c r="N8" s="2"/>
      <c r="O8" s="2"/>
      <c r="S8" s="52"/>
    </row>
    <row r="9" spans="1:19" ht="12.75">
      <c r="A9" s="6" t="s">
        <v>116</v>
      </c>
      <c r="B9" s="6"/>
      <c r="C9" s="8">
        <f>SUM(C7:C7)</f>
        <v>35584</v>
      </c>
      <c r="D9" s="8">
        <f>SUM(D7:D7)</f>
        <v>47933</v>
      </c>
      <c r="E9" s="8">
        <f>SUM(E7:E8)</f>
        <v>44439</v>
      </c>
      <c r="F9" s="8">
        <f>SUM(F7:F8)</f>
        <v>48404</v>
      </c>
      <c r="G9" s="8">
        <f>SUM(G7:G8)</f>
        <v>57113</v>
      </c>
      <c r="H9" s="8">
        <f>SUM(H7:H8)</f>
        <v>40704</v>
      </c>
      <c r="I9" s="8">
        <f>SUM(I7:I8)</f>
        <v>33258</v>
      </c>
      <c r="J9" s="8">
        <v>37633</v>
      </c>
      <c r="K9" s="8">
        <f>SUM(K7:K8)</f>
        <v>41914</v>
      </c>
      <c r="L9" s="8">
        <v>41858</v>
      </c>
      <c r="M9" s="8">
        <f aca="true" t="shared" si="0" ref="M9:R9">SUM(M7:M8)</f>
        <v>38307</v>
      </c>
      <c r="N9" s="8">
        <f t="shared" si="0"/>
        <v>39000</v>
      </c>
      <c r="O9" s="8">
        <f t="shared" si="0"/>
        <v>42000</v>
      </c>
      <c r="P9" s="8">
        <f t="shared" si="0"/>
        <v>42000</v>
      </c>
      <c r="Q9" s="8">
        <f t="shared" si="0"/>
        <v>42000</v>
      </c>
      <c r="R9" s="8">
        <f t="shared" si="0"/>
        <v>42000</v>
      </c>
      <c r="S9" s="60">
        <f>(R9-O9)/O9</f>
        <v>0</v>
      </c>
    </row>
    <row r="10" spans="3:19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2"/>
    </row>
    <row r="11" spans="3:19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2" t="s">
        <v>488</v>
      </c>
      <c r="P11" s="22"/>
      <c r="Q11" s="56">
        <f>P9-Q9</f>
        <v>0</v>
      </c>
      <c r="R11" s="2"/>
      <c r="S11" s="52"/>
    </row>
    <row r="12" spans="15:19" ht="12.75">
      <c r="O12" s="22" t="s">
        <v>761</v>
      </c>
      <c r="P12" s="22"/>
      <c r="Q12" s="56">
        <f>O9-Q9</f>
        <v>0</v>
      </c>
      <c r="S12" s="52"/>
    </row>
    <row r="13" spans="15:19" ht="12.75">
      <c r="O13" s="22" t="s">
        <v>436</v>
      </c>
      <c r="P13" s="22"/>
      <c r="Q13" s="56">
        <f>Q9-R9</f>
        <v>0</v>
      </c>
      <c r="S13" s="52"/>
    </row>
    <row r="14" ht="12.75">
      <c r="S14" s="52"/>
    </row>
    <row r="15" ht="12.75">
      <c r="S15" s="52"/>
    </row>
    <row r="16" ht="12.75"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2"/>
    </row>
    <row r="30" ht="12.75">
      <c r="S30" s="60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97"/>
  <sheetViews>
    <sheetView zoomScale="75" zoomScaleNormal="75" workbookViewId="0" topLeftCell="A1">
      <selection activeCell="L45" sqref="L4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2" width="11.7109375" style="0" customWidth="1"/>
    <col min="13" max="14" width="9.8515625" style="0" bestFit="1" customWidth="1"/>
    <col min="15" max="15" width="10.8515625" style="0" customWidth="1"/>
    <col min="16" max="16" width="10.00390625" style="0" bestFit="1" customWidth="1"/>
    <col min="17" max="17" width="11.00390625" style="0" bestFit="1" customWidth="1"/>
    <col min="18" max="18" width="10.42187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447</v>
      </c>
      <c r="M3" s="57">
        <v>10</v>
      </c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449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40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58" t="s">
        <v>115</v>
      </c>
    </row>
    <row r="7" spans="1:20" ht="12.75">
      <c r="A7" t="s">
        <v>980</v>
      </c>
      <c r="C7" s="1"/>
      <c r="D7" s="103"/>
      <c r="E7" s="103"/>
      <c r="F7" s="103"/>
      <c r="G7" s="103"/>
      <c r="H7" s="103"/>
      <c r="I7" s="103"/>
      <c r="J7" s="103"/>
      <c r="K7" s="103"/>
      <c r="L7" s="163">
        <v>98983</v>
      </c>
      <c r="M7" s="147">
        <v>77942</v>
      </c>
      <c r="N7" s="148">
        <v>77942</v>
      </c>
      <c r="O7" s="146"/>
      <c r="P7" s="146"/>
      <c r="Q7" s="146"/>
      <c r="R7" s="146"/>
      <c r="S7" s="146"/>
      <c r="T7" s="121" t="s">
        <v>376</v>
      </c>
    </row>
    <row r="8" spans="1:20" ht="12.75">
      <c r="A8" t="s">
        <v>1039</v>
      </c>
      <c r="C8" s="1"/>
      <c r="D8" s="103"/>
      <c r="E8" s="103"/>
      <c r="F8" s="103"/>
      <c r="G8" s="103"/>
      <c r="H8" s="103"/>
      <c r="I8" s="103"/>
      <c r="J8" s="103"/>
      <c r="K8" s="103"/>
      <c r="L8" s="163"/>
      <c r="M8" s="147">
        <v>5800</v>
      </c>
      <c r="N8" s="148">
        <v>5800</v>
      </c>
      <c r="O8" s="146"/>
      <c r="P8" s="146"/>
      <c r="Q8" s="146"/>
      <c r="R8" s="146"/>
      <c r="S8" s="146"/>
      <c r="T8" s="121"/>
    </row>
    <row r="9" spans="1:20" ht="12.75">
      <c r="A9" t="s">
        <v>196</v>
      </c>
      <c r="B9" s="4">
        <v>52.211</v>
      </c>
      <c r="C9" s="2"/>
      <c r="D9" s="2"/>
      <c r="E9" s="2">
        <v>153</v>
      </c>
      <c r="F9" s="2">
        <v>279</v>
      </c>
      <c r="G9" s="2"/>
      <c r="H9" s="2"/>
      <c r="I9" s="2"/>
      <c r="J9" s="2">
        <v>495</v>
      </c>
      <c r="K9" s="2">
        <v>1835</v>
      </c>
      <c r="L9" s="2">
        <v>3146</v>
      </c>
      <c r="M9" s="11">
        <v>2572</v>
      </c>
      <c r="N9" s="2">
        <f>M9/$M$3*12</f>
        <v>3086.3999999999996</v>
      </c>
      <c r="O9" s="2">
        <v>3400</v>
      </c>
      <c r="P9" s="2">
        <v>3400</v>
      </c>
      <c r="Q9" s="2">
        <v>3400</v>
      </c>
      <c r="R9" s="2">
        <v>3400</v>
      </c>
      <c r="S9" s="52"/>
      <c r="T9" s="15" t="s">
        <v>102</v>
      </c>
    </row>
    <row r="10" spans="1:19" ht="12.75">
      <c r="A10" t="s">
        <v>197</v>
      </c>
      <c r="B10" s="4">
        <v>52.214</v>
      </c>
      <c r="C10" s="2"/>
      <c r="D10" s="2">
        <v>4455</v>
      </c>
      <c r="E10" s="2">
        <v>3370</v>
      </c>
      <c r="F10" s="2">
        <v>3790</v>
      </c>
      <c r="G10" s="2">
        <v>2570</v>
      </c>
      <c r="H10" s="2">
        <v>2604</v>
      </c>
      <c r="I10" s="2">
        <v>4448</v>
      </c>
      <c r="J10" s="2">
        <v>5590</v>
      </c>
      <c r="K10" s="2">
        <v>3565</v>
      </c>
      <c r="L10" s="2">
        <v>3890</v>
      </c>
      <c r="M10" s="11">
        <v>2030</v>
      </c>
      <c r="N10" s="2">
        <v>4000</v>
      </c>
      <c r="O10" s="2">
        <v>4000</v>
      </c>
      <c r="P10" s="2">
        <v>4000</v>
      </c>
      <c r="Q10" s="2">
        <v>4000</v>
      </c>
      <c r="R10" s="2">
        <v>4000</v>
      </c>
      <c r="S10" s="92">
        <f>(R10-O10)/O10</f>
        <v>0</v>
      </c>
    </row>
    <row r="11" spans="1:19" ht="12.75">
      <c r="A11" t="s">
        <v>448</v>
      </c>
      <c r="B11" s="4">
        <v>52.2201</v>
      </c>
      <c r="C11" s="2"/>
      <c r="D11" s="2"/>
      <c r="E11" s="2">
        <v>6649</v>
      </c>
      <c r="F11" s="2">
        <v>9335</v>
      </c>
      <c r="G11" s="2">
        <v>11922</v>
      </c>
      <c r="H11" s="2">
        <v>5679</v>
      </c>
      <c r="I11" s="2">
        <v>6718</v>
      </c>
      <c r="J11" s="2">
        <v>7142</v>
      </c>
      <c r="K11" s="2">
        <f>6602+192</f>
        <v>6794</v>
      </c>
      <c r="L11" s="2">
        <f>9028+192</f>
        <v>9220</v>
      </c>
      <c r="M11" s="11">
        <v>8077</v>
      </c>
      <c r="N11" s="2">
        <v>8100</v>
      </c>
      <c r="O11" s="2">
        <v>7000</v>
      </c>
      <c r="P11" s="2">
        <v>7000</v>
      </c>
      <c r="Q11" s="2">
        <v>7000</v>
      </c>
      <c r="R11" s="2">
        <v>7000</v>
      </c>
      <c r="S11" s="92">
        <f>(R11-O11)/O11</f>
        <v>0</v>
      </c>
    </row>
    <row r="12" spans="1:19" ht="12.75">
      <c r="A12" t="s">
        <v>199</v>
      </c>
      <c r="B12" s="4">
        <v>52.2205</v>
      </c>
      <c r="C12" s="2"/>
      <c r="D12" s="2"/>
      <c r="E12" s="2">
        <v>2087</v>
      </c>
      <c r="F12" s="2">
        <v>3168</v>
      </c>
      <c r="G12" s="2">
        <v>4455</v>
      </c>
      <c r="H12" s="2">
        <v>5334</v>
      </c>
      <c r="I12" s="2">
        <f>5088+269</f>
        <v>5357</v>
      </c>
      <c r="J12" s="2">
        <v>5543</v>
      </c>
      <c r="K12" s="2">
        <f>5092+45</f>
        <v>5137</v>
      </c>
      <c r="L12" s="2">
        <v>5521</v>
      </c>
      <c r="M12" s="11">
        <v>5080</v>
      </c>
      <c r="N12" s="2">
        <v>5500</v>
      </c>
      <c r="O12" s="2">
        <v>5500</v>
      </c>
      <c r="P12" s="2">
        <v>5500</v>
      </c>
      <c r="Q12" s="2">
        <v>5500</v>
      </c>
      <c r="R12" s="2">
        <v>5500</v>
      </c>
      <c r="S12" s="92">
        <f>(R12-O12)/O12</f>
        <v>0</v>
      </c>
    </row>
    <row r="13" spans="1:19" ht="12.75" hidden="1">
      <c r="A13" t="s">
        <v>410</v>
      </c>
      <c r="B13" s="4">
        <v>52.2212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>M13/$M$3*12</f>
        <v>0</v>
      </c>
      <c r="O13" s="2"/>
      <c r="P13" s="2"/>
      <c r="Q13" s="2"/>
      <c r="R13" s="2"/>
      <c r="S13" s="92"/>
    </row>
    <row r="14" spans="1:19" ht="12.75">
      <c r="A14" t="s">
        <v>410</v>
      </c>
      <c r="B14" s="4">
        <v>52.2212</v>
      </c>
      <c r="C14" s="2"/>
      <c r="D14" s="2"/>
      <c r="E14" s="2"/>
      <c r="F14" s="2"/>
      <c r="G14" s="2"/>
      <c r="H14" s="2"/>
      <c r="I14" s="2"/>
      <c r="J14" s="2"/>
      <c r="K14" s="2">
        <v>1330</v>
      </c>
      <c r="L14" s="2"/>
      <c r="M14" s="2"/>
      <c r="N14" s="2">
        <f>M14/$M$3*12</f>
        <v>0</v>
      </c>
      <c r="O14" s="2"/>
      <c r="P14" s="2"/>
      <c r="Q14" s="2"/>
      <c r="R14" s="2"/>
      <c r="S14" s="92"/>
    </row>
    <row r="15" spans="1:19" ht="12.75">
      <c r="A15" t="s">
        <v>868</v>
      </c>
      <c r="B15" s="4"/>
      <c r="C15" s="2"/>
      <c r="D15" s="2"/>
      <c r="E15" s="2"/>
      <c r="F15" s="2"/>
      <c r="G15" s="2"/>
      <c r="H15" s="2"/>
      <c r="I15" s="2"/>
      <c r="J15" s="2"/>
      <c r="K15" s="2">
        <v>2642</v>
      </c>
      <c r="L15" s="2"/>
      <c r="M15" s="2"/>
      <c r="N15" s="2"/>
      <c r="O15" s="2"/>
      <c r="P15" s="2"/>
      <c r="Q15" s="2"/>
      <c r="R15" s="2"/>
      <c r="S15" s="92"/>
    </row>
    <row r="16" spans="1:19" ht="12.75">
      <c r="A16" t="s">
        <v>963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>
        <v>275</v>
      </c>
      <c r="M16" s="2"/>
      <c r="N16" s="2"/>
      <c r="O16" s="2"/>
      <c r="P16" s="2"/>
      <c r="Q16" s="2"/>
      <c r="R16" s="2"/>
      <c r="S16" s="92"/>
    </row>
    <row r="17" spans="2:19" ht="12.7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</row>
    <row r="18" spans="1:19" ht="12.75">
      <c r="A18" t="s">
        <v>148</v>
      </c>
      <c r="B18" s="4">
        <v>53.12</v>
      </c>
      <c r="C18" s="2">
        <v>32977</v>
      </c>
      <c r="D18" s="2">
        <v>26030</v>
      </c>
      <c r="E18" s="2">
        <v>32224</v>
      </c>
      <c r="F18" s="2">
        <v>32301</v>
      </c>
      <c r="G18" s="2">
        <v>31750</v>
      </c>
      <c r="H18" s="2">
        <v>40375</v>
      </c>
      <c r="I18" s="2">
        <v>37121</v>
      </c>
      <c r="J18" s="2">
        <v>53134</v>
      </c>
      <c r="K18" s="2">
        <v>41518</v>
      </c>
      <c r="L18" s="2">
        <v>44388</v>
      </c>
      <c r="M18" s="11">
        <v>35074</v>
      </c>
      <c r="N18" s="2">
        <f>M18/$M$3*12</f>
        <v>42088.8</v>
      </c>
      <c r="O18" s="2">
        <v>43000</v>
      </c>
      <c r="P18" s="2">
        <v>43000</v>
      </c>
      <c r="Q18" s="2">
        <v>43000</v>
      </c>
      <c r="R18" s="2">
        <v>43000</v>
      </c>
      <c r="S18" s="92"/>
    </row>
    <row r="19" spans="1:19" ht="12.75">
      <c r="A19" t="s">
        <v>200</v>
      </c>
      <c r="B19" s="4">
        <v>53.1702</v>
      </c>
      <c r="C19" s="2">
        <v>8638</v>
      </c>
      <c r="D19" s="2">
        <v>5463</v>
      </c>
      <c r="E19" s="2">
        <v>7716</v>
      </c>
      <c r="F19" s="2">
        <v>4896</v>
      </c>
      <c r="G19" s="2">
        <v>5118</v>
      </c>
      <c r="H19" s="2">
        <v>5156</v>
      </c>
      <c r="I19" s="2">
        <v>4485</v>
      </c>
      <c r="J19" s="2">
        <v>5304</v>
      </c>
      <c r="K19" s="2">
        <v>8390</v>
      </c>
      <c r="L19" s="2">
        <v>8320</v>
      </c>
      <c r="M19" s="11">
        <v>5614</v>
      </c>
      <c r="N19" s="2">
        <f>M19/$M$3*12</f>
        <v>6736.799999999999</v>
      </c>
      <c r="O19" s="2">
        <v>5500</v>
      </c>
      <c r="P19" s="2">
        <v>5500</v>
      </c>
      <c r="Q19" s="2">
        <v>5500</v>
      </c>
      <c r="R19" s="2">
        <v>5500</v>
      </c>
      <c r="S19" s="92">
        <f>(R19-O19)/O19</f>
        <v>0</v>
      </c>
    </row>
    <row r="20" spans="1:19" ht="12.75">
      <c r="A20" t="s">
        <v>174</v>
      </c>
      <c r="B20" s="4">
        <v>53.1704</v>
      </c>
      <c r="C20" s="2"/>
      <c r="D20" s="2"/>
      <c r="E20" s="2">
        <v>292</v>
      </c>
      <c r="F20" s="2">
        <v>28</v>
      </c>
      <c r="G20" s="2">
        <v>1081</v>
      </c>
      <c r="H20" s="2">
        <v>3</v>
      </c>
      <c r="I20" s="2"/>
      <c r="J20" s="2"/>
      <c r="K20" s="2">
        <v>11</v>
      </c>
      <c r="L20" s="2">
        <v>67</v>
      </c>
      <c r="M20" s="2"/>
      <c r="N20" s="2">
        <f>M20/$M$3*12</f>
        <v>0</v>
      </c>
      <c r="O20" s="2"/>
      <c r="P20" s="2"/>
      <c r="Q20" s="2"/>
      <c r="R20" s="2"/>
      <c r="S20" s="92"/>
    </row>
    <row r="21" spans="1:19" ht="12.75">
      <c r="A21" t="s">
        <v>201</v>
      </c>
      <c r="B21" s="4">
        <v>53.172</v>
      </c>
      <c r="C21" s="2">
        <v>11446</v>
      </c>
      <c r="D21" s="2">
        <v>19057</v>
      </c>
      <c r="E21" s="2">
        <v>6228</v>
      </c>
      <c r="F21" s="2">
        <v>21483</v>
      </c>
      <c r="G21" s="2">
        <v>46610</v>
      </c>
      <c r="H21" s="2">
        <v>42055</v>
      </c>
      <c r="I21" s="2">
        <v>60354</v>
      </c>
      <c r="J21" s="2">
        <v>23129</v>
      </c>
      <c r="K21" s="2">
        <v>33496</v>
      </c>
      <c r="L21" s="2">
        <f>30992+575</f>
        <v>31567</v>
      </c>
      <c r="M21" s="11">
        <v>24242</v>
      </c>
      <c r="N21" s="2">
        <f>M21/$M$3*12</f>
        <v>29090.399999999998</v>
      </c>
      <c r="O21" s="2">
        <v>35000</v>
      </c>
      <c r="P21" s="2">
        <v>35000</v>
      </c>
      <c r="Q21" s="2">
        <v>35000</v>
      </c>
      <c r="R21" s="2">
        <v>35000</v>
      </c>
      <c r="S21" s="92">
        <f>(R21-O21)/O21</f>
        <v>0</v>
      </c>
    </row>
    <row r="22" spans="1:19" ht="12.75">
      <c r="A22" t="s">
        <v>731</v>
      </c>
      <c r="B22" s="4"/>
      <c r="C22" s="2"/>
      <c r="D22" s="2"/>
      <c r="E22" s="2"/>
      <c r="F22" s="2"/>
      <c r="G22" s="2"/>
      <c r="H22" s="2"/>
      <c r="I22" s="2">
        <f>8054+194</f>
        <v>8248</v>
      </c>
      <c r="J22" s="2">
        <v>6599</v>
      </c>
      <c r="K22" s="2"/>
      <c r="L22" s="2"/>
      <c r="M22" s="11"/>
      <c r="N22" s="2"/>
      <c r="O22" s="2"/>
      <c r="P22" s="2"/>
      <c r="Q22" s="2"/>
      <c r="R22" s="2"/>
      <c r="S22" s="92"/>
    </row>
    <row r="23" spans="1:19" ht="12.75">
      <c r="A23" t="s">
        <v>681</v>
      </c>
      <c r="B23" s="4"/>
      <c r="C23" s="2"/>
      <c r="D23" s="2"/>
      <c r="E23" s="2"/>
      <c r="F23" s="2"/>
      <c r="G23" s="2"/>
      <c r="H23" s="2"/>
      <c r="I23" s="2">
        <v>40000</v>
      </c>
      <c r="J23" s="2"/>
      <c r="K23" s="2"/>
      <c r="L23" s="2"/>
      <c r="M23" s="2"/>
      <c r="N23" s="2"/>
      <c r="O23" s="2"/>
      <c r="P23" s="2"/>
      <c r="Q23" s="2"/>
      <c r="R23" s="2"/>
      <c r="S23" s="92"/>
    </row>
    <row r="24" spans="1:19" ht="12.75">
      <c r="A24" t="s">
        <v>104</v>
      </c>
      <c r="B24" s="4">
        <v>53.1732</v>
      </c>
      <c r="C24" s="2"/>
      <c r="D24" s="2"/>
      <c r="E24" s="2"/>
      <c r="F24" s="2"/>
      <c r="G24" s="2"/>
      <c r="H24" s="2"/>
      <c r="I24" s="2"/>
      <c r="J24" s="2">
        <v>7076</v>
      </c>
      <c r="K24" s="2"/>
      <c r="L24" s="2">
        <v>5375</v>
      </c>
      <c r="M24" s="2"/>
      <c r="N24" s="2"/>
      <c r="O24" s="2"/>
      <c r="P24" s="2"/>
      <c r="Q24" s="2"/>
      <c r="R24" s="2"/>
      <c r="S24" s="92"/>
    </row>
    <row r="25" spans="1:19" ht="12.75">
      <c r="A25" t="s">
        <v>105</v>
      </c>
      <c r="B25" s="4">
        <v>53.1733</v>
      </c>
      <c r="C25" s="2"/>
      <c r="D25" s="2"/>
      <c r="E25" s="2"/>
      <c r="F25" s="2"/>
      <c r="G25" s="2"/>
      <c r="H25" s="2"/>
      <c r="I25" s="2"/>
      <c r="J25" s="2">
        <v>8394</v>
      </c>
      <c r="K25" s="2"/>
      <c r="L25" s="2">
        <v>4849</v>
      </c>
      <c r="M25" s="2"/>
      <c r="N25" s="2"/>
      <c r="O25" s="2"/>
      <c r="P25" s="2"/>
      <c r="Q25" s="2"/>
      <c r="R25" s="2"/>
      <c r="S25" s="92"/>
    </row>
    <row r="26" spans="1:19" ht="12.75">
      <c r="A26" t="s">
        <v>777</v>
      </c>
      <c r="B26" s="4"/>
      <c r="C26" s="2"/>
      <c r="D26" s="2"/>
      <c r="E26" s="2"/>
      <c r="F26" s="2"/>
      <c r="G26" s="2"/>
      <c r="H26" s="2"/>
      <c r="I26" s="2"/>
      <c r="J26" s="2">
        <v>3690</v>
      </c>
      <c r="K26" s="2">
        <v>6502</v>
      </c>
      <c r="L26" s="2"/>
      <c r="M26" s="2"/>
      <c r="N26" s="2"/>
      <c r="O26" s="2"/>
      <c r="P26" s="2"/>
      <c r="Q26" s="2"/>
      <c r="R26" s="2"/>
      <c r="S26" s="92"/>
    </row>
    <row r="27" spans="1:19" ht="12.75">
      <c r="A27" t="s">
        <v>181</v>
      </c>
      <c r="B27" s="4"/>
      <c r="C27" s="2"/>
      <c r="D27" s="2"/>
      <c r="E27" s="2"/>
      <c r="F27" s="2"/>
      <c r="G27" s="2"/>
      <c r="H27" s="2"/>
      <c r="I27" s="2"/>
      <c r="J27" s="2"/>
      <c r="K27" s="2">
        <v>588</v>
      </c>
      <c r="L27" s="2"/>
      <c r="M27" s="2"/>
      <c r="N27" s="2"/>
      <c r="O27" s="2"/>
      <c r="P27" s="2"/>
      <c r="Q27" s="2"/>
      <c r="R27" s="2"/>
      <c r="S27" s="92"/>
    </row>
    <row r="28" spans="1:19" ht="12.75">
      <c r="A28" t="s">
        <v>841</v>
      </c>
      <c r="B28" s="4"/>
      <c r="C28" s="2"/>
      <c r="D28" s="2"/>
      <c r="E28" s="2"/>
      <c r="F28" s="2"/>
      <c r="G28" s="2"/>
      <c r="H28" s="2"/>
      <c r="I28" s="2"/>
      <c r="J28" s="2"/>
      <c r="K28" s="2">
        <v>857</v>
      </c>
      <c r="L28" s="2"/>
      <c r="M28" s="2"/>
      <c r="N28" s="2"/>
      <c r="O28" s="2"/>
      <c r="P28" s="2"/>
      <c r="Q28" s="2"/>
      <c r="R28" s="2"/>
      <c r="S28" s="92"/>
    </row>
    <row r="29" spans="2:19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2"/>
    </row>
    <row r="30" spans="1:20" ht="12.75">
      <c r="A30" t="s">
        <v>859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62639</v>
      </c>
      <c r="N30" s="2">
        <v>62639</v>
      </c>
      <c r="O30" s="2">
        <v>50000</v>
      </c>
      <c r="P30" s="2"/>
      <c r="Q30" s="2"/>
      <c r="R30" s="2"/>
      <c r="S30" s="92"/>
      <c r="T30" s="6" t="s">
        <v>865</v>
      </c>
    </row>
    <row r="31" spans="1:19" ht="12.75">
      <c r="A31" t="s">
        <v>804</v>
      </c>
      <c r="B31" s="4">
        <v>54.11</v>
      </c>
      <c r="C31" s="2"/>
      <c r="D31" s="2"/>
      <c r="E31" s="2"/>
      <c r="F31" s="2">
        <v>265</v>
      </c>
      <c r="G31" s="2">
        <v>66</v>
      </c>
      <c r="H31" s="2"/>
      <c r="I31" s="2"/>
      <c r="J31" s="2">
        <v>105595</v>
      </c>
      <c r="K31" s="2">
        <v>901</v>
      </c>
      <c r="L31" s="2"/>
      <c r="M31" s="2"/>
      <c r="N31" s="2"/>
      <c r="O31" s="2"/>
      <c r="P31" s="2"/>
      <c r="Q31" s="2"/>
      <c r="R31" s="2"/>
      <c r="S31" s="52"/>
    </row>
    <row r="32" spans="1:20" ht="12.75">
      <c r="A32" t="s">
        <v>815</v>
      </c>
      <c r="B32" s="4">
        <v>54.1303</v>
      </c>
      <c r="C32" s="2"/>
      <c r="D32" s="2"/>
      <c r="E32" s="2"/>
      <c r="F32" s="2"/>
      <c r="G32" s="2"/>
      <c r="H32" s="2"/>
      <c r="I32" s="2"/>
      <c r="J32" s="2"/>
      <c r="K32" s="2">
        <v>357098</v>
      </c>
      <c r="L32" s="2"/>
      <c r="M32" s="2"/>
      <c r="N32" s="2"/>
      <c r="O32" s="2"/>
      <c r="P32" s="2"/>
      <c r="Q32" s="2"/>
      <c r="R32" s="2"/>
      <c r="S32" s="52"/>
      <c r="T32" s="6" t="s">
        <v>818</v>
      </c>
    </row>
    <row r="33" spans="1:20" ht="12.75">
      <c r="A33" t="s">
        <v>817</v>
      </c>
      <c r="B33" s="4"/>
      <c r="C33" s="2"/>
      <c r="D33" s="2"/>
      <c r="E33" s="2"/>
      <c r="F33" s="2"/>
      <c r="G33" s="2"/>
      <c r="H33" s="2"/>
      <c r="I33" s="2"/>
      <c r="J33" s="2"/>
      <c r="K33" s="2">
        <v>136089</v>
      </c>
      <c r="L33" s="2">
        <v>31582</v>
      </c>
      <c r="M33" s="2"/>
      <c r="N33" s="2"/>
      <c r="O33" s="2"/>
      <c r="P33" s="2"/>
      <c r="Q33" s="2"/>
      <c r="R33" s="2"/>
      <c r="S33" s="52"/>
      <c r="T33" s="6"/>
    </row>
    <row r="34" spans="1:20" ht="12.75">
      <c r="A34" t="s">
        <v>858</v>
      </c>
      <c r="B34" s="4"/>
      <c r="C34" s="2"/>
      <c r="D34" s="2"/>
      <c r="E34" s="2"/>
      <c r="F34" s="2"/>
      <c r="G34" s="2"/>
      <c r="H34" s="2"/>
      <c r="I34" s="2"/>
      <c r="J34" s="2"/>
      <c r="K34" s="2">
        <v>65</v>
      </c>
      <c r="L34" s="2">
        <v>202796</v>
      </c>
      <c r="M34" s="2">
        <v>394560</v>
      </c>
      <c r="N34" s="2">
        <v>500000</v>
      </c>
      <c r="O34" s="2">
        <v>1200000</v>
      </c>
      <c r="P34" s="2">
        <v>300000</v>
      </c>
      <c r="Q34" s="2">
        <v>300000</v>
      </c>
      <c r="R34" s="2"/>
      <c r="S34" s="52"/>
      <c r="T34" s="6" t="s">
        <v>94</v>
      </c>
    </row>
    <row r="35" spans="1:20" ht="12.75">
      <c r="A35" t="s">
        <v>964</v>
      </c>
      <c r="C35" s="2"/>
      <c r="D35" s="2"/>
      <c r="E35" s="2"/>
      <c r="F35" s="2"/>
      <c r="G35" s="2"/>
      <c r="H35" s="2"/>
      <c r="I35" s="2"/>
      <c r="J35" s="2"/>
      <c r="K35" s="2"/>
      <c r="L35" s="2">
        <v>12511</v>
      </c>
      <c r="M35" s="2"/>
      <c r="N35" s="2"/>
      <c r="O35" s="2"/>
      <c r="P35" s="2"/>
      <c r="Q35" s="2"/>
      <c r="R35" s="2"/>
      <c r="S35" s="52"/>
      <c r="T35" s="6" t="s">
        <v>865</v>
      </c>
    </row>
    <row r="36" spans="1:19" ht="12.75">
      <c r="A36" t="s">
        <v>561</v>
      </c>
      <c r="B36" s="4">
        <v>54.25</v>
      </c>
      <c r="C36" s="2"/>
      <c r="D36" s="2"/>
      <c r="E36" s="2"/>
      <c r="F36" s="2"/>
      <c r="G36" s="2"/>
      <c r="H36" s="2">
        <v>12790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52"/>
    </row>
    <row r="37" spans="1:19" ht="12.75">
      <c r="A37" t="s">
        <v>593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2"/>
    </row>
    <row r="38" spans="1:19" ht="12.75">
      <c r="A38" s="6" t="s">
        <v>116</v>
      </c>
      <c r="B38" s="6"/>
      <c r="C38" s="8">
        <f>SUM(C9:C21)</f>
        <v>53061</v>
      </c>
      <c r="D38" s="8">
        <f>SUM(D9:D21)</f>
        <v>55005</v>
      </c>
      <c r="E38" s="8">
        <f>SUM(E9:E37)</f>
        <v>58719</v>
      </c>
      <c r="F38" s="8">
        <f>SUM(F9:F37)</f>
        <v>75545</v>
      </c>
      <c r="G38" s="8">
        <f>SUM(G9:G37)</f>
        <v>103572</v>
      </c>
      <c r="H38" s="8">
        <f>SUM(H9:H37)</f>
        <v>113996</v>
      </c>
      <c r="I38" s="8">
        <f>SUM(I9:I37)</f>
        <v>166731</v>
      </c>
      <c r="J38" s="8">
        <v>236975</v>
      </c>
      <c r="K38" s="8">
        <f>SUM(K9:K37)</f>
        <v>606818</v>
      </c>
      <c r="L38" s="8">
        <v>462487</v>
      </c>
      <c r="M38" s="8">
        <f>SUM(M7:M37)</f>
        <v>623630</v>
      </c>
      <c r="N38" s="8">
        <f>SUM(N7:N37)</f>
        <v>744983.4</v>
      </c>
      <c r="O38" s="8">
        <f>SUM(O9:O37)</f>
        <v>1353400</v>
      </c>
      <c r="P38" s="8">
        <f>SUM(P9:P37)</f>
        <v>403400</v>
      </c>
      <c r="Q38" s="8">
        <f>SUM(Q9:Q37)</f>
        <v>403400</v>
      </c>
      <c r="R38" s="8">
        <f>SUM(R9:R37)</f>
        <v>103400</v>
      </c>
      <c r="S38" s="53">
        <f>(R38-O38)/O38</f>
        <v>-0.923599822668834</v>
      </c>
    </row>
    <row r="39" spans="3:19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2"/>
    </row>
    <row r="40" spans="2:19" ht="12.75">
      <c r="B40" s="1"/>
      <c r="D40" s="35" t="s">
        <v>363</v>
      </c>
      <c r="E40" s="35" t="s">
        <v>364</v>
      </c>
      <c r="F40" t="s">
        <v>409</v>
      </c>
      <c r="M40" s="35"/>
      <c r="N40" s="2"/>
      <c r="O40" s="22" t="s">
        <v>488</v>
      </c>
      <c r="P40" s="22"/>
      <c r="Q40" s="56">
        <f>P38-Q38</f>
        <v>0</v>
      </c>
      <c r="R40" s="2"/>
      <c r="S40" s="52"/>
    </row>
    <row r="41" spans="1:19" ht="12.75">
      <c r="A41" s="15"/>
      <c r="B41" s="1"/>
      <c r="D41" s="1" t="s">
        <v>365</v>
      </c>
      <c r="E41" s="1" t="s">
        <v>365</v>
      </c>
      <c r="M41" s="1"/>
      <c r="O41" s="22" t="s">
        <v>761</v>
      </c>
      <c r="P41" s="22"/>
      <c r="Q41" s="56">
        <f>O38-Q38</f>
        <v>950000</v>
      </c>
      <c r="S41" s="52"/>
    </row>
    <row r="42" spans="1:19" ht="12.75">
      <c r="A42" s="15" t="s">
        <v>982</v>
      </c>
      <c r="B42" s="1"/>
      <c r="D42" s="1" t="s">
        <v>365</v>
      </c>
      <c r="E42" s="1" t="s">
        <v>365</v>
      </c>
      <c r="M42" s="1"/>
      <c r="O42" s="22" t="s">
        <v>436</v>
      </c>
      <c r="P42" s="22"/>
      <c r="Q42" s="56">
        <f>Q38-R38</f>
        <v>300000</v>
      </c>
      <c r="S42" s="52"/>
    </row>
    <row r="43" spans="1:19" ht="12.75">
      <c r="A43" s="15" t="s">
        <v>981</v>
      </c>
      <c r="B43" s="1"/>
      <c r="D43" s="1" t="s">
        <v>365</v>
      </c>
      <c r="E43" s="1" t="s">
        <v>365</v>
      </c>
      <c r="F43" s="1" t="s">
        <v>365</v>
      </c>
      <c r="G43" s="1"/>
      <c r="H43" s="1"/>
      <c r="I43" s="1"/>
      <c r="J43" s="1"/>
      <c r="K43" s="1"/>
      <c r="L43" s="1"/>
      <c r="S43" s="52"/>
    </row>
    <row r="44" spans="1:19" ht="12.75">
      <c r="A44" s="15"/>
      <c r="B44" s="1"/>
      <c r="D44" s="1" t="s">
        <v>365</v>
      </c>
      <c r="E44" s="1" t="s">
        <v>365</v>
      </c>
      <c r="O44" s="1"/>
      <c r="S44" s="52"/>
    </row>
    <row r="45" spans="1:19" ht="12.75">
      <c r="A45" s="15"/>
      <c r="B45" s="1"/>
      <c r="D45" s="1" t="s">
        <v>365</v>
      </c>
      <c r="E45" s="1" t="s">
        <v>365</v>
      </c>
      <c r="F45" s="1" t="s">
        <v>365</v>
      </c>
      <c r="G45" s="1"/>
      <c r="H45" s="1"/>
      <c r="I45" s="1"/>
      <c r="J45" s="1"/>
      <c r="K45" s="1"/>
      <c r="L45" s="35">
        <f>SUM(L33:L35)</f>
        <v>246889</v>
      </c>
      <c r="S45" s="52"/>
    </row>
    <row r="46" spans="1:19" ht="12.75">
      <c r="A46" s="15"/>
      <c r="B46" s="1"/>
      <c r="D46" s="1" t="s">
        <v>365</v>
      </c>
      <c r="E46" s="1" t="s">
        <v>556</v>
      </c>
      <c r="S46" s="52"/>
    </row>
    <row r="47" spans="1:19" ht="12.75">
      <c r="A47" s="15"/>
      <c r="B47" s="1"/>
      <c r="D47" s="1" t="s">
        <v>365</v>
      </c>
      <c r="E47" s="1" t="s">
        <v>365</v>
      </c>
      <c r="S47" s="52"/>
    </row>
    <row r="48" spans="1:19" ht="12.75">
      <c r="A48" s="15"/>
      <c r="B48" s="1"/>
      <c r="D48" s="1" t="s">
        <v>365</v>
      </c>
      <c r="E48" s="1" t="s">
        <v>365</v>
      </c>
      <c r="R48" s="4"/>
      <c r="S48" s="167"/>
    </row>
    <row r="49" spans="1:19" ht="12.75">
      <c r="A49" s="15"/>
      <c r="B49" s="1"/>
      <c r="D49" s="1" t="s">
        <v>365</v>
      </c>
      <c r="E49" s="1" t="s">
        <v>365</v>
      </c>
      <c r="R49" s="4"/>
      <c r="S49" s="167"/>
    </row>
    <row r="50" spans="1:19" ht="12.75">
      <c r="A50" s="15"/>
      <c r="B50" s="1"/>
      <c r="D50" s="1" t="s">
        <v>365</v>
      </c>
      <c r="E50" s="1" t="s">
        <v>365</v>
      </c>
      <c r="M50" s="1"/>
      <c r="S50" s="52"/>
    </row>
    <row r="51" spans="1:19" ht="12.75">
      <c r="A51" s="15"/>
      <c r="B51" s="1"/>
      <c r="D51" s="1" t="s">
        <v>365</v>
      </c>
      <c r="E51" s="1"/>
      <c r="S51" s="52"/>
    </row>
    <row r="52" spans="1:19" ht="12.75">
      <c r="A52" s="15"/>
      <c r="B52" s="1"/>
      <c r="D52" s="1" t="s">
        <v>365</v>
      </c>
      <c r="E52" s="1"/>
      <c r="S52" s="52"/>
    </row>
    <row r="53" spans="1:19" ht="12.75">
      <c r="A53" s="15"/>
      <c r="B53" s="1"/>
      <c r="D53" s="1" t="s">
        <v>365</v>
      </c>
      <c r="E53" s="1" t="s">
        <v>365</v>
      </c>
      <c r="S53" s="52"/>
    </row>
    <row r="54" ht="12.75">
      <c r="S54" s="52"/>
    </row>
    <row r="55" spans="1:19" ht="12.75">
      <c r="A55" s="15"/>
      <c r="S55" s="52"/>
    </row>
    <row r="56" ht="12.75">
      <c r="S56" s="52"/>
    </row>
    <row r="57" spans="1:19" ht="12.75">
      <c r="A57" s="15"/>
      <c r="S57" s="52"/>
    </row>
    <row r="59" ht="12.75">
      <c r="S59" s="60"/>
    </row>
    <row r="60" ht="12.75">
      <c r="A60" s="15"/>
    </row>
    <row r="92" ht="12.75">
      <c r="S92" s="2"/>
    </row>
    <row r="93" ht="12.75">
      <c r="S93" s="2"/>
    </row>
    <row r="94" ht="12.75">
      <c r="S94" s="2"/>
    </row>
    <row r="95" ht="12.75">
      <c r="S95" s="2"/>
    </row>
    <row r="96" ht="12.75">
      <c r="S96" s="2"/>
    </row>
    <row r="97" ht="12.75">
      <c r="S97" s="2"/>
    </row>
  </sheetData>
  <printOptions gridLines="1"/>
  <pageMargins left="0.25" right="0.25" top="1" bottom="0.55" header="0.5" footer="0.25"/>
  <pageSetup fitToHeight="1" fitToWidth="1" horizontalDpi="300" verticalDpi="300" orientation="landscape" scale="69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80"/>
  <sheetViews>
    <sheetView zoomScale="75" zoomScaleNormal="75" workbookViewId="0" topLeftCell="A1">
      <selection activeCell="A11" sqref="A11:B11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7.57421875" style="0" hidden="1" customWidth="1"/>
    <col min="4" max="4" width="11.7109375" style="0" hidden="1" customWidth="1"/>
    <col min="5" max="5" width="0.42578125" style="0" hidden="1" customWidth="1"/>
    <col min="6" max="6" width="11.7109375" style="0" hidden="1" customWidth="1"/>
    <col min="7" max="8" width="7.57421875" style="0" hidden="1" customWidth="1"/>
    <col min="9" max="9" width="6.8515625" style="0" hidden="1" customWidth="1"/>
    <col min="10" max="10" width="6.8515625" style="0" bestFit="1" customWidth="1"/>
    <col min="11" max="12" width="6.8515625" style="0" customWidth="1"/>
    <col min="13" max="13" width="11.7109375" style="0" customWidth="1"/>
    <col min="14" max="14" width="9.7109375" style="0" bestFit="1" customWidth="1"/>
    <col min="15" max="16" width="11.7109375" style="0" customWidth="1"/>
    <col min="17" max="17" width="10.7109375" style="0" bestFit="1" customWidth="1"/>
    <col min="18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450</v>
      </c>
      <c r="M3" s="57">
        <v>6</v>
      </c>
      <c r="N3" s="9"/>
      <c r="S3" s="1" t="s">
        <v>438</v>
      </c>
    </row>
    <row r="4" spans="4:19" ht="12.75">
      <c r="D4" s="1"/>
      <c r="E4" s="1"/>
      <c r="F4" s="1"/>
      <c r="G4" s="1"/>
      <c r="H4" s="1"/>
      <c r="I4" s="1"/>
      <c r="J4" s="1"/>
      <c r="K4" s="1"/>
      <c r="L4" s="1"/>
      <c r="M4" s="9" t="s">
        <v>449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3:19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2"/>
    </row>
    <row r="8" spans="1:19" ht="12.75">
      <c r="A8" t="s">
        <v>538</v>
      </c>
      <c r="B8" s="4">
        <v>52.3602</v>
      </c>
      <c r="C8" s="2"/>
      <c r="D8" s="2"/>
      <c r="E8" s="2"/>
      <c r="F8" s="2"/>
      <c r="G8" s="2">
        <v>3495</v>
      </c>
      <c r="H8" s="2">
        <v>3495</v>
      </c>
      <c r="I8" s="2">
        <v>2995</v>
      </c>
      <c r="J8" s="2">
        <v>2995</v>
      </c>
      <c r="K8" s="2">
        <v>2995</v>
      </c>
      <c r="L8" s="2">
        <v>3295</v>
      </c>
      <c r="M8" s="2">
        <v>3295</v>
      </c>
      <c r="N8" s="2">
        <v>3295</v>
      </c>
      <c r="O8" s="2">
        <v>3300</v>
      </c>
      <c r="P8" s="2">
        <v>3300</v>
      </c>
      <c r="Q8" s="2">
        <v>3300</v>
      </c>
      <c r="R8" s="2">
        <v>3300</v>
      </c>
      <c r="S8" s="92">
        <f>(R8-O8)/O8</f>
        <v>0</v>
      </c>
    </row>
    <row r="9" spans="1:20" ht="12.75">
      <c r="A9" t="s">
        <v>203</v>
      </c>
      <c r="B9" s="4">
        <v>52.361</v>
      </c>
      <c r="C9" s="2">
        <v>17971</v>
      </c>
      <c r="D9" s="2">
        <v>23581</v>
      </c>
      <c r="E9" s="2">
        <v>18935</v>
      </c>
      <c r="F9" s="2">
        <v>25342</v>
      </c>
      <c r="G9" s="2">
        <v>17869</v>
      </c>
      <c r="H9" s="2">
        <v>17965</v>
      </c>
      <c r="I9" s="2">
        <v>500</v>
      </c>
      <c r="J9" s="2"/>
      <c r="K9" s="2"/>
      <c r="L9" s="2"/>
      <c r="M9" s="2"/>
      <c r="N9" s="2"/>
      <c r="O9" s="2"/>
      <c r="P9" s="2"/>
      <c r="Q9" s="2"/>
      <c r="R9" s="2"/>
      <c r="S9" s="92"/>
      <c r="T9" t="s">
        <v>376</v>
      </c>
    </row>
    <row r="10" spans="1:19" ht="12.75">
      <c r="A10" t="s">
        <v>797</v>
      </c>
      <c r="B10" s="4"/>
      <c r="C10" s="2"/>
      <c r="D10" s="2"/>
      <c r="E10" s="2"/>
      <c r="F10" s="2"/>
      <c r="G10" s="2"/>
      <c r="H10" s="2"/>
      <c r="I10" s="2"/>
      <c r="J10" s="2"/>
      <c r="K10" s="2">
        <v>450</v>
      </c>
      <c r="L10" s="2">
        <v>450</v>
      </c>
      <c r="M10" s="2">
        <v>450</v>
      </c>
      <c r="N10" s="2">
        <v>450</v>
      </c>
      <c r="O10" s="2">
        <v>450</v>
      </c>
      <c r="P10" s="2">
        <v>450</v>
      </c>
      <c r="Q10" s="2">
        <v>450</v>
      </c>
      <c r="R10" s="2">
        <v>450</v>
      </c>
      <c r="S10" s="92"/>
    </row>
    <row r="11" spans="1:19" ht="12.75">
      <c r="A11" t="s">
        <v>623</v>
      </c>
      <c r="B11">
        <v>52.3603</v>
      </c>
      <c r="C11" s="2"/>
      <c r="D11" s="2"/>
      <c r="E11" s="2"/>
      <c r="F11" s="2"/>
      <c r="G11" s="2"/>
      <c r="H11" s="2"/>
      <c r="I11" s="2"/>
      <c r="J11" s="2">
        <v>500</v>
      </c>
      <c r="K11" s="2">
        <v>500</v>
      </c>
      <c r="L11" s="2">
        <v>500</v>
      </c>
      <c r="M11" s="2"/>
      <c r="N11" s="2"/>
      <c r="O11" s="2"/>
      <c r="P11" s="2">
        <v>1000</v>
      </c>
      <c r="Q11" s="2"/>
      <c r="R11" s="2">
        <v>1000</v>
      </c>
      <c r="S11" s="92" t="e">
        <f>(R11-O11)/O11</f>
        <v>#DIV/0!</v>
      </c>
    </row>
    <row r="12" spans="3:19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2"/>
    </row>
    <row r="13" spans="1:19" ht="12.75">
      <c r="A13" s="6" t="s">
        <v>116</v>
      </c>
      <c r="B13" s="6"/>
      <c r="C13" s="8">
        <f>SUM(C9:C9)</f>
        <v>17971</v>
      </c>
      <c r="D13" s="8">
        <f>SUM(D9:D9)</f>
        <v>23581</v>
      </c>
      <c r="E13" s="8">
        <f>SUM(E9:E12)</f>
        <v>18935</v>
      </c>
      <c r="F13" s="8">
        <f>SUM(F9:F12)</f>
        <v>25342</v>
      </c>
      <c r="G13" s="8">
        <f>SUM(G8:G11)</f>
        <v>21364</v>
      </c>
      <c r="H13" s="8">
        <f>SUM(H8:H11)</f>
        <v>21460</v>
      </c>
      <c r="I13" s="8">
        <f>SUM(I8:I11)</f>
        <v>3495</v>
      </c>
      <c r="J13" s="8">
        <v>3495</v>
      </c>
      <c r="K13" s="8">
        <f aca="true" t="shared" si="0" ref="K13:R13">SUM(K8:K11)</f>
        <v>3945</v>
      </c>
      <c r="L13" s="8">
        <v>4245</v>
      </c>
      <c r="M13" s="8">
        <f t="shared" si="0"/>
        <v>3745</v>
      </c>
      <c r="N13" s="8">
        <f t="shared" si="0"/>
        <v>3745</v>
      </c>
      <c r="O13" s="8">
        <f t="shared" si="0"/>
        <v>3750</v>
      </c>
      <c r="P13" s="8">
        <f t="shared" si="0"/>
        <v>4750</v>
      </c>
      <c r="Q13" s="8">
        <f t="shared" si="0"/>
        <v>3750</v>
      </c>
      <c r="R13" s="8">
        <f t="shared" si="0"/>
        <v>4750</v>
      </c>
      <c r="S13" s="53">
        <f>(R13-O13)/O13</f>
        <v>0.26666666666666666</v>
      </c>
    </row>
    <row r="14" spans="3:19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2"/>
    </row>
    <row r="15" spans="3:19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2" t="s">
        <v>488</v>
      </c>
      <c r="P15" s="22"/>
      <c r="Q15" s="56">
        <f>P13-Q13</f>
        <v>1000</v>
      </c>
      <c r="R15" s="2"/>
      <c r="S15" s="52"/>
    </row>
    <row r="16" spans="12:19" ht="12.75">
      <c r="L16" s="2"/>
      <c r="O16" s="22" t="s">
        <v>761</v>
      </c>
      <c r="P16" s="22"/>
      <c r="Q16" s="56">
        <f>O13-Q13</f>
        <v>0</v>
      </c>
      <c r="S16" s="52"/>
    </row>
    <row r="17" spans="15:19" ht="12.75">
      <c r="O17" s="22" t="s">
        <v>436</v>
      </c>
      <c r="P17" s="22"/>
      <c r="Q17" s="56">
        <f>Q13-R13</f>
        <v>-1000</v>
      </c>
      <c r="S17" s="52"/>
    </row>
    <row r="18" ht="12.75">
      <c r="S18" s="52"/>
    </row>
    <row r="19" spans="1:19" ht="12.75">
      <c r="A19" t="s">
        <v>699</v>
      </c>
      <c r="S19" s="52"/>
    </row>
    <row r="20" ht="12.75">
      <c r="S20" s="52"/>
    </row>
    <row r="21" spans="19:21" ht="12.75">
      <c r="S21" s="52"/>
      <c r="U21" t="s">
        <v>683</v>
      </c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2" ht="12.75">
      <c r="S42" s="60"/>
    </row>
    <row r="75" ht="12.75">
      <c r="S75" s="2"/>
    </row>
    <row r="76" ht="12.75">
      <c r="S76" s="2"/>
    </row>
    <row r="77" ht="12.75">
      <c r="S77" s="2"/>
    </row>
    <row r="78" ht="12.75">
      <c r="S78" s="2"/>
    </row>
    <row r="79" ht="12.75">
      <c r="S79" s="2"/>
    </row>
    <row r="80" ht="12.75">
      <c r="S80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U48"/>
  <sheetViews>
    <sheetView zoomScale="75" zoomScaleNormal="75" workbookViewId="0" topLeftCell="A1">
      <selection activeCell="W19" sqref="W1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8.710937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4" ht="12.75">
      <c r="A2" t="s">
        <v>107</v>
      </c>
      <c r="K2" s="170"/>
      <c r="L2" s="170"/>
      <c r="M2" s="170"/>
      <c r="N2" s="170"/>
    </row>
    <row r="3" spans="1:19" ht="12.75">
      <c r="A3" s="6" t="s">
        <v>451</v>
      </c>
      <c r="M3" s="57">
        <v>10</v>
      </c>
      <c r="N3" s="9"/>
      <c r="S3" s="1" t="s">
        <v>438</v>
      </c>
    </row>
    <row r="4" spans="4:19" ht="12.75">
      <c r="D4" s="1"/>
      <c r="E4" s="1"/>
      <c r="F4" s="1"/>
      <c r="G4" s="1"/>
      <c r="H4" s="1"/>
      <c r="I4" s="1"/>
      <c r="J4" s="1"/>
      <c r="K4" s="1"/>
      <c r="L4" s="1"/>
      <c r="M4" s="9" t="s">
        <v>449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s="61" t="s">
        <v>118</v>
      </c>
      <c r="B6" s="61"/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2:19" ht="12.75">
      <c r="B7" s="4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"/>
      <c r="R7" s="2"/>
      <c r="S7" s="52"/>
    </row>
    <row r="8" spans="1:19" ht="12.75">
      <c r="A8" t="s">
        <v>205</v>
      </c>
      <c r="B8" s="4">
        <v>51.111</v>
      </c>
      <c r="C8" s="2">
        <v>11905</v>
      </c>
      <c r="D8" s="2">
        <v>19555</v>
      </c>
      <c r="E8" s="2">
        <v>29514</v>
      </c>
      <c r="F8" s="2">
        <v>12989</v>
      </c>
      <c r="G8" s="2">
        <v>13033</v>
      </c>
      <c r="H8" s="2">
        <v>13638</v>
      </c>
      <c r="I8" s="2">
        <v>18805</v>
      </c>
      <c r="J8" s="2">
        <v>20235</v>
      </c>
      <c r="K8" s="2">
        <v>20371</v>
      </c>
      <c r="L8" s="2">
        <v>21082.59</v>
      </c>
      <c r="M8" s="2">
        <v>19625</v>
      </c>
      <c r="N8" s="2">
        <f>+M8/$M$3*12</f>
        <v>23550</v>
      </c>
      <c r="O8" s="2">
        <v>18430</v>
      </c>
      <c r="P8" s="31">
        <v>25000</v>
      </c>
      <c r="Q8" s="31">
        <v>25000</v>
      </c>
      <c r="R8" s="31">
        <v>25000</v>
      </c>
      <c r="S8" s="92">
        <f>(R8-O8)/O8</f>
        <v>0.3564839934888768</v>
      </c>
    </row>
    <row r="9" spans="1:19" ht="12.75">
      <c r="A9" t="s">
        <v>139</v>
      </c>
      <c r="B9" s="4">
        <v>51.22</v>
      </c>
      <c r="C9" s="2">
        <v>2834</v>
      </c>
      <c r="D9" s="2">
        <v>4131</v>
      </c>
      <c r="E9" s="2">
        <v>4273</v>
      </c>
      <c r="F9" s="2">
        <v>4434</v>
      </c>
      <c r="G9" s="2">
        <v>4139</v>
      </c>
      <c r="H9" s="2">
        <v>4673</v>
      </c>
      <c r="I9" s="2">
        <v>5285</v>
      </c>
      <c r="J9" s="2">
        <v>5693</v>
      </c>
      <c r="K9" s="2">
        <v>5537</v>
      </c>
      <c r="L9" s="2">
        <v>5422.07</v>
      </c>
      <c r="M9" s="2">
        <v>4430</v>
      </c>
      <c r="N9" s="2">
        <f>+M9/$M$3*12</f>
        <v>5316</v>
      </c>
      <c r="O9" s="2">
        <v>5915.745</v>
      </c>
      <c r="P9" s="2">
        <f>(P8+P20+P13)*0.0765</f>
        <v>7191</v>
      </c>
      <c r="Q9" s="2">
        <f>(Q8+Q20+Q13)*0.0765</f>
        <v>6732</v>
      </c>
      <c r="R9" s="2">
        <f>(R8+R20+R13)*0.0765</f>
        <v>6732</v>
      </c>
      <c r="S9" s="92">
        <f>(R9-O9)/O9</f>
        <v>0.13798008534850642</v>
      </c>
    </row>
    <row r="10" spans="2:19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2"/>
    </row>
    <row r="11" spans="1:19" ht="12.75">
      <c r="A11" t="s">
        <v>406</v>
      </c>
      <c r="B11" s="4">
        <v>52.125</v>
      </c>
      <c r="C11" s="2"/>
      <c r="E11" s="2">
        <v>25545</v>
      </c>
      <c r="F11" s="2">
        <v>47748</v>
      </c>
      <c r="G11" s="2">
        <v>26553</v>
      </c>
      <c r="H11" s="2">
        <v>27929</v>
      </c>
      <c r="I11" s="2">
        <f>1093+18599</f>
        <v>19692</v>
      </c>
      <c r="J11" s="2">
        <v>20546</v>
      </c>
      <c r="K11" s="2">
        <v>15645</v>
      </c>
      <c r="L11" s="2">
        <f>20939+1454</f>
        <v>22393</v>
      </c>
      <c r="M11" s="2">
        <v>32303</v>
      </c>
      <c r="N11" s="2">
        <v>35000</v>
      </c>
      <c r="O11" s="2">
        <v>9500</v>
      </c>
      <c r="P11" s="2">
        <v>23000</v>
      </c>
      <c r="Q11" s="2">
        <v>20000</v>
      </c>
      <c r="R11" s="2">
        <v>20000</v>
      </c>
      <c r="S11" s="92">
        <f>(R11-O11)/O11</f>
        <v>1.105263157894737</v>
      </c>
    </row>
    <row r="12" spans="1:19" ht="12.75">
      <c r="A12" t="s">
        <v>1035</v>
      </c>
      <c r="B12" s="4">
        <v>52.1251</v>
      </c>
      <c r="C12" s="2"/>
      <c r="E12" s="2"/>
      <c r="F12" s="2"/>
      <c r="G12" s="2"/>
      <c r="H12" s="2"/>
      <c r="I12" s="2"/>
      <c r="J12" s="2"/>
      <c r="K12" s="2"/>
      <c r="L12" s="2"/>
      <c r="M12" s="2">
        <v>15714</v>
      </c>
      <c r="N12" s="2">
        <v>25000</v>
      </c>
      <c r="O12" s="2"/>
      <c r="P12" s="2">
        <v>10000</v>
      </c>
      <c r="Q12" s="2">
        <v>10000</v>
      </c>
      <c r="R12" s="2">
        <v>10000</v>
      </c>
      <c r="S12" s="92"/>
    </row>
    <row r="13" spans="1:19" ht="12.75">
      <c r="A13" t="s">
        <v>207</v>
      </c>
      <c r="B13" s="4">
        <v>52.132</v>
      </c>
      <c r="C13" s="2">
        <v>23422</v>
      </c>
      <c r="D13" s="2">
        <v>28619</v>
      </c>
      <c r="E13" s="2">
        <v>38628</v>
      </c>
      <c r="F13" s="2">
        <v>29130</v>
      </c>
      <c r="G13" s="2">
        <v>31963</v>
      </c>
      <c r="H13" s="2">
        <v>37861</v>
      </c>
      <c r="I13" s="2">
        <v>39051</v>
      </c>
      <c r="J13" s="2">
        <v>38765</v>
      </c>
      <c r="K13" s="2">
        <f>38793+29</f>
        <v>38822</v>
      </c>
      <c r="L13" s="2">
        <f>45608+1272</f>
        <v>46880</v>
      </c>
      <c r="M13" s="2">
        <v>37372</v>
      </c>
      <c r="N13" s="2">
        <f>+M13/$M$3*12</f>
        <v>44846.399999999994</v>
      </c>
      <c r="O13" s="2">
        <v>35150</v>
      </c>
      <c r="P13" s="2">
        <v>45000</v>
      </c>
      <c r="Q13" s="2">
        <v>39000</v>
      </c>
      <c r="R13" s="2">
        <v>39000</v>
      </c>
      <c r="S13" s="92"/>
    </row>
    <row r="14" spans="1:19" ht="12.75" hidden="1">
      <c r="A14" t="s">
        <v>208</v>
      </c>
      <c r="B14" s="4">
        <v>52.2204</v>
      </c>
      <c r="C14" s="2">
        <v>499</v>
      </c>
      <c r="D14" s="2">
        <v>594</v>
      </c>
      <c r="E14" s="2">
        <v>552</v>
      </c>
      <c r="F14" s="2">
        <v>588</v>
      </c>
      <c r="G14" s="2"/>
      <c r="H14" s="2"/>
      <c r="I14" s="2"/>
      <c r="J14" s="2"/>
      <c r="K14" s="2"/>
      <c r="L14" s="2"/>
      <c r="M14" s="2"/>
      <c r="N14" s="2"/>
      <c r="O14" s="2">
        <v>0</v>
      </c>
      <c r="P14" s="2"/>
      <c r="Q14" s="2"/>
      <c r="R14" s="2"/>
      <c r="S14" s="92"/>
    </row>
    <row r="15" spans="1:19" ht="12.75">
      <c r="A15" t="s">
        <v>141</v>
      </c>
      <c r="B15" s="4">
        <v>52.32</v>
      </c>
      <c r="C15" s="2">
        <v>4690</v>
      </c>
      <c r="D15" s="2">
        <v>3752</v>
      </c>
      <c r="E15" s="2">
        <v>4631</v>
      </c>
      <c r="F15" s="2">
        <v>4206</v>
      </c>
      <c r="G15" s="2">
        <v>4326</v>
      </c>
      <c r="H15" s="2">
        <v>4327</v>
      </c>
      <c r="I15" s="2">
        <v>4413</v>
      </c>
      <c r="J15" s="2">
        <v>4603</v>
      </c>
      <c r="K15" s="2">
        <v>4465</v>
      </c>
      <c r="L15" s="2">
        <v>4008</v>
      </c>
      <c r="M15" s="2">
        <v>3425</v>
      </c>
      <c r="N15" s="2">
        <f aca="true" t="shared" si="0" ref="N15:N21">+M15/$M$3*12</f>
        <v>4110</v>
      </c>
      <c r="O15" s="2">
        <v>3800</v>
      </c>
      <c r="P15" s="2">
        <v>4000</v>
      </c>
      <c r="Q15" s="2">
        <v>4000</v>
      </c>
      <c r="R15" s="2">
        <v>4000</v>
      </c>
      <c r="S15" s="92">
        <f>(R15-O15)/O15</f>
        <v>0.05263157894736842</v>
      </c>
    </row>
    <row r="16" spans="1:19" ht="12.75">
      <c r="A16" t="s">
        <v>1044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600</v>
      </c>
      <c r="Q16" s="2"/>
      <c r="R16" s="2">
        <v>600</v>
      </c>
      <c r="S16" s="92"/>
    </row>
    <row r="17" spans="1:19" ht="12.75">
      <c r="A17" t="s">
        <v>142</v>
      </c>
      <c r="B17" s="4">
        <v>52.321</v>
      </c>
      <c r="C17" s="2">
        <v>617</v>
      </c>
      <c r="D17" s="2">
        <v>785</v>
      </c>
      <c r="E17" s="2">
        <v>1016</v>
      </c>
      <c r="F17" s="2">
        <v>821</v>
      </c>
      <c r="G17" s="2">
        <v>823</v>
      </c>
      <c r="H17" s="2">
        <v>649</v>
      </c>
      <c r="I17" s="2">
        <v>453</v>
      </c>
      <c r="J17" s="2">
        <v>705</v>
      </c>
      <c r="K17" s="2">
        <v>442</v>
      </c>
      <c r="L17" s="2">
        <v>420</v>
      </c>
      <c r="M17" s="2">
        <v>194</v>
      </c>
      <c r="N17" s="2">
        <v>500</v>
      </c>
      <c r="O17" s="2">
        <v>665</v>
      </c>
      <c r="P17" s="2">
        <v>450</v>
      </c>
      <c r="Q17" s="2">
        <v>450</v>
      </c>
      <c r="R17" s="2">
        <v>450</v>
      </c>
      <c r="S17" s="92">
        <f>(R17-O17)/O17</f>
        <v>-0.3233082706766917</v>
      </c>
    </row>
    <row r="18" spans="1:21" ht="12.75">
      <c r="A18" t="s">
        <v>154</v>
      </c>
      <c r="B18" s="4">
        <v>52.35</v>
      </c>
      <c r="C18" s="2">
        <v>162</v>
      </c>
      <c r="D18" s="2">
        <v>155</v>
      </c>
      <c r="E18" s="2"/>
      <c r="F18" s="2"/>
      <c r="G18" s="2"/>
      <c r="H18" s="2"/>
      <c r="I18" s="2">
        <v>731</v>
      </c>
      <c r="J18" s="2">
        <v>493</v>
      </c>
      <c r="K18" s="2">
        <v>312</v>
      </c>
      <c r="L18" s="2">
        <v>145</v>
      </c>
      <c r="M18" s="2">
        <v>371</v>
      </c>
      <c r="N18" s="2">
        <v>380</v>
      </c>
      <c r="O18" s="2">
        <v>380</v>
      </c>
      <c r="P18" s="2">
        <v>200</v>
      </c>
      <c r="Q18" s="2">
        <v>200</v>
      </c>
      <c r="R18" s="2">
        <v>200</v>
      </c>
      <c r="S18" s="92">
        <f>(R18-O18)/O18</f>
        <v>-0.47368421052631576</v>
      </c>
      <c r="U18" s="2"/>
    </row>
    <row r="19" spans="1:19" ht="12.75">
      <c r="A19" t="s">
        <v>144</v>
      </c>
      <c r="B19" s="4">
        <v>52.36</v>
      </c>
      <c r="C19" s="2">
        <v>115</v>
      </c>
      <c r="D19" s="2">
        <v>680</v>
      </c>
      <c r="E19" s="2">
        <v>325</v>
      </c>
      <c r="F19" s="2">
        <v>375</v>
      </c>
      <c r="G19" s="2">
        <v>390</v>
      </c>
      <c r="H19" s="2">
        <v>408</v>
      </c>
      <c r="I19" s="2">
        <v>453</v>
      </c>
      <c r="J19" s="2">
        <v>365</v>
      </c>
      <c r="K19" s="2">
        <v>425</v>
      </c>
      <c r="L19" s="2">
        <v>316</v>
      </c>
      <c r="M19" s="2"/>
      <c r="N19" s="2"/>
      <c r="O19" s="2">
        <v>375.25</v>
      </c>
      <c r="P19" s="2">
        <v>375</v>
      </c>
      <c r="Q19" s="2">
        <v>375</v>
      </c>
      <c r="R19" s="2">
        <v>375</v>
      </c>
      <c r="S19" s="92">
        <f>(R19-O19)/O19</f>
        <v>-0.0006662225183211193</v>
      </c>
    </row>
    <row r="20" spans="1:19" ht="12.75">
      <c r="A20" t="s">
        <v>209</v>
      </c>
      <c r="B20" s="4">
        <v>52.3601</v>
      </c>
      <c r="C20" s="2"/>
      <c r="D20" s="2"/>
      <c r="E20" s="2">
        <v>16590</v>
      </c>
      <c r="F20" s="2">
        <v>18480</v>
      </c>
      <c r="G20" s="2">
        <v>16980</v>
      </c>
      <c r="H20" s="2">
        <v>17460</v>
      </c>
      <c r="I20" s="2">
        <v>23535</v>
      </c>
      <c r="J20" s="2">
        <v>29480</v>
      </c>
      <c r="K20" s="2">
        <v>26845</v>
      </c>
      <c r="L20" s="2">
        <v>23920</v>
      </c>
      <c r="M20" s="2">
        <v>19240</v>
      </c>
      <c r="N20" s="2">
        <f t="shared" si="0"/>
        <v>23088</v>
      </c>
      <c r="O20" s="2">
        <v>23750</v>
      </c>
      <c r="P20" s="2">
        <v>24000</v>
      </c>
      <c r="Q20" s="2">
        <v>24000</v>
      </c>
      <c r="R20" s="2">
        <v>24000</v>
      </c>
      <c r="S20" s="92">
        <f>(R20-O20)/O20</f>
        <v>0.010526315789473684</v>
      </c>
    </row>
    <row r="21" spans="1:19" ht="12.75">
      <c r="A21" t="s">
        <v>407</v>
      </c>
      <c r="B21" s="4">
        <v>52.37</v>
      </c>
      <c r="C21" s="2"/>
      <c r="D21" s="2"/>
      <c r="E21" s="2"/>
      <c r="F21" s="2">
        <v>40</v>
      </c>
      <c r="G21" s="2">
        <v>150</v>
      </c>
      <c r="H21" s="2">
        <v>354</v>
      </c>
      <c r="I21" s="2"/>
      <c r="J21" s="2"/>
      <c r="K21" s="2"/>
      <c r="L21" s="2"/>
      <c r="M21" s="2"/>
      <c r="N21" s="2">
        <f t="shared" si="0"/>
        <v>0</v>
      </c>
      <c r="O21" s="2">
        <v>0</v>
      </c>
      <c r="P21" s="2"/>
      <c r="Q21" s="2"/>
      <c r="R21" s="2"/>
      <c r="S21" s="92"/>
    </row>
    <row r="22" spans="1:19" ht="12.75">
      <c r="A22" t="s">
        <v>965</v>
      </c>
      <c r="B22" s="4">
        <v>53.1737</v>
      </c>
      <c r="C22" s="2"/>
      <c r="D22" s="2"/>
      <c r="E22" s="2"/>
      <c r="F22" s="2"/>
      <c r="G22" s="2"/>
      <c r="H22" s="2"/>
      <c r="I22" s="2"/>
      <c r="J22" s="2"/>
      <c r="K22" s="2"/>
      <c r="L22" s="2">
        <v>167</v>
      </c>
      <c r="M22" s="2"/>
      <c r="N22" s="2"/>
      <c r="O22" s="2">
        <v>0</v>
      </c>
      <c r="P22" s="2"/>
      <c r="Q22" s="2"/>
      <c r="R22" s="2"/>
      <c r="S22" s="92"/>
    </row>
    <row r="23" spans="1:19" ht="12.75">
      <c r="A23" t="s">
        <v>56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>
        <v>50</v>
      </c>
      <c r="M23" s="2"/>
      <c r="N23" s="2"/>
      <c r="O23" s="2"/>
      <c r="P23" s="2">
        <v>1000</v>
      </c>
      <c r="Q23" s="2"/>
      <c r="R23" s="2"/>
      <c r="S23" s="92"/>
    </row>
    <row r="24" spans="2:19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0</v>
      </c>
      <c r="P24" s="2"/>
      <c r="Q24" s="2"/>
      <c r="R24" s="2"/>
      <c r="S24" s="92"/>
    </row>
    <row r="25" spans="1:19" ht="12.75">
      <c r="A25" t="s">
        <v>149</v>
      </c>
      <c r="B25" s="4">
        <v>53.171</v>
      </c>
      <c r="C25" s="2">
        <v>1273</v>
      </c>
      <c r="D25" s="2">
        <v>1502</v>
      </c>
      <c r="E25" s="2">
        <v>2093</v>
      </c>
      <c r="F25" s="2">
        <v>1792</v>
      </c>
      <c r="G25" s="2">
        <v>534</v>
      </c>
      <c r="H25" s="2">
        <v>1087</v>
      </c>
      <c r="I25" s="2">
        <v>1171</v>
      </c>
      <c r="J25" s="2">
        <v>470</v>
      </c>
      <c r="K25" s="2">
        <v>2173</v>
      </c>
      <c r="L25" s="2">
        <v>674</v>
      </c>
      <c r="M25" s="2">
        <v>343</v>
      </c>
      <c r="N25" s="2">
        <f>+M25/$M$3*12</f>
        <v>411.59999999999997</v>
      </c>
      <c r="O25" s="2">
        <v>950</v>
      </c>
      <c r="P25" s="2">
        <v>1000</v>
      </c>
      <c r="Q25" s="2">
        <v>700</v>
      </c>
      <c r="R25" s="2">
        <v>700</v>
      </c>
      <c r="S25" s="92">
        <f>(R25-O25)/O25</f>
        <v>-0.2631578947368421</v>
      </c>
    </row>
    <row r="26" spans="1:21" ht="12.75">
      <c r="A26" t="s">
        <v>698</v>
      </c>
      <c r="B26" s="4">
        <v>57.108</v>
      </c>
      <c r="C26" s="2"/>
      <c r="D26" s="2"/>
      <c r="E26" s="2"/>
      <c r="F26" s="2"/>
      <c r="G26" s="2"/>
      <c r="H26" s="2">
        <v>1509</v>
      </c>
      <c r="I26" s="2">
        <v>1690</v>
      </c>
      <c r="J26" s="2">
        <v>2005</v>
      </c>
      <c r="K26" s="2">
        <v>1465</v>
      </c>
      <c r="L26" s="2">
        <v>1495</v>
      </c>
      <c r="M26" s="2">
        <v>1479</v>
      </c>
      <c r="N26" s="2">
        <v>1500</v>
      </c>
      <c r="O26" s="2">
        <v>2850</v>
      </c>
      <c r="P26" s="2">
        <v>1500</v>
      </c>
      <c r="Q26" s="2">
        <v>0</v>
      </c>
      <c r="R26" s="2"/>
      <c r="S26" s="52">
        <f>(R26-O26)/O26</f>
        <v>-1</v>
      </c>
      <c r="T26" t="s">
        <v>564</v>
      </c>
      <c r="U26" s="6" t="s">
        <v>992</v>
      </c>
    </row>
    <row r="27" spans="1:19" ht="12.75">
      <c r="A27" s="6" t="s">
        <v>116</v>
      </c>
      <c r="B27" s="6"/>
      <c r="C27" s="8">
        <f>SUM(C7:C25)</f>
        <v>45517</v>
      </c>
      <c r="D27" s="8">
        <f>SUM(D7:D25)</f>
        <v>59773</v>
      </c>
      <c r="E27" s="8">
        <f>SUM(E8:E26)</f>
        <v>123167</v>
      </c>
      <c r="F27" s="8">
        <f>SUM(F7:F26)</f>
        <v>120603</v>
      </c>
      <c r="G27" s="8">
        <f>SUM(G7:G26)</f>
        <v>98891</v>
      </c>
      <c r="H27" s="8">
        <f>SUM(H7:H26)</f>
        <v>109895</v>
      </c>
      <c r="I27" s="8">
        <f>SUM(I7:I26)</f>
        <v>115279</v>
      </c>
      <c r="J27" s="8">
        <v>124035</v>
      </c>
      <c r="K27" s="8">
        <f aca="true" t="shared" si="1" ref="K27:R27">SUM(K8:K26)</f>
        <v>116502</v>
      </c>
      <c r="L27" s="8">
        <v>126972</v>
      </c>
      <c r="M27" s="8">
        <f>SUM(M8:M26)</f>
        <v>134496</v>
      </c>
      <c r="N27" s="8">
        <f>SUM(N8:N26)</f>
        <v>163702</v>
      </c>
      <c r="O27" s="8">
        <f t="shared" si="1"/>
        <v>101765.995</v>
      </c>
      <c r="P27" s="8">
        <f t="shared" si="1"/>
        <v>143316</v>
      </c>
      <c r="Q27" s="8">
        <f t="shared" si="1"/>
        <v>130457</v>
      </c>
      <c r="R27" s="8">
        <f t="shared" si="1"/>
        <v>131057</v>
      </c>
      <c r="S27" s="53">
        <f>(R27-O27)/O27</f>
        <v>0.2878270388846491</v>
      </c>
    </row>
    <row r="28" spans="3:19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2"/>
    </row>
    <row r="29" spans="3:19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2" t="s">
        <v>488</v>
      </c>
      <c r="P29" s="22"/>
      <c r="Q29" s="56">
        <f>P27-Q27</f>
        <v>12859</v>
      </c>
      <c r="R29" s="2"/>
      <c r="S29" s="52"/>
    </row>
    <row r="30" spans="15:19" ht="12.75">
      <c r="O30" s="22" t="s">
        <v>761</v>
      </c>
      <c r="P30" s="22"/>
      <c r="Q30" s="56">
        <f>O27-Q27</f>
        <v>-28691.005000000005</v>
      </c>
      <c r="S30" s="52"/>
    </row>
    <row r="31" spans="15:19" ht="12.75">
      <c r="O31" s="22" t="s">
        <v>436</v>
      </c>
      <c r="P31" s="22"/>
      <c r="Q31" s="56">
        <f>Q27-R27</f>
        <v>-600</v>
      </c>
      <c r="S31" s="52"/>
    </row>
    <row r="32" ht="12.75">
      <c r="S32" s="52"/>
    </row>
    <row r="33" spans="1:19" ht="12.75">
      <c r="A33" s="6"/>
      <c r="M33" s="4"/>
      <c r="N33" s="168"/>
      <c r="S33" s="52"/>
    </row>
    <row r="43" ht="12.75">
      <c r="S43" s="2"/>
    </row>
    <row r="44" ht="12.75">
      <c r="S44" s="2"/>
    </row>
    <row r="45" ht="12.75">
      <c r="S45" s="2"/>
    </row>
    <row r="46" ht="12.75">
      <c r="S46" s="2"/>
    </row>
    <row r="47" ht="12.75">
      <c r="S47" s="2"/>
    </row>
    <row r="48" ht="12.75">
      <c r="S48" s="2"/>
    </row>
  </sheetData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U74"/>
  <sheetViews>
    <sheetView zoomScale="75" zoomScaleNormal="75" workbookViewId="0" topLeftCell="A7">
      <selection activeCell="T23" sqref="T2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9" width="11.7109375" style="0" hidden="1" customWidth="1"/>
    <col min="10" max="13" width="11.7109375" style="0" customWidth="1"/>
    <col min="14" max="14" width="13.421875" style="0" bestFit="1" customWidth="1"/>
    <col min="15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2" ht="12.75">
      <c r="A2" t="s">
        <v>107</v>
      </c>
      <c r="K2" s="170"/>
      <c r="L2" s="170"/>
    </row>
    <row r="3" spans="1:19" ht="12.75">
      <c r="A3" s="6" t="s">
        <v>452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3" t="s">
        <v>115</v>
      </c>
    </row>
    <row r="7" spans="1:20" ht="12.75">
      <c r="A7" s="22" t="s">
        <v>686</v>
      </c>
      <c r="B7" s="4">
        <v>51.11</v>
      </c>
      <c r="C7" s="2">
        <v>123667</v>
      </c>
      <c r="D7" s="2">
        <v>129432</v>
      </c>
      <c r="E7" s="2">
        <v>137463</v>
      </c>
      <c r="F7" s="2">
        <v>155424</v>
      </c>
      <c r="G7" s="2">
        <v>160734</v>
      </c>
      <c r="H7" s="2">
        <v>171399</v>
      </c>
      <c r="I7" s="2">
        <v>183451</v>
      </c>
      <c r="J7" s="2">
        <v>192931</v>
      </c>
      <c r="K7" s="2">
        <v>207092</v>
      </c>
      <c r="L7" s="2">
        <v>214136</v>
      </c>
      <c r="M7" s="2">
        <v>157305</v>
      </c>
      <c r="N7" s="2">
        <f>+M7/$M$3*12</f>
        <v>188766</v>
      </c>
      <c r="O7" s="2">
        <v>175964.93666875</v>
      </c>
      <c r="P7" s="2">
        <v>179260</v>
      </c>
      <c r="Q7" s="2">
        <v>179260.12</v>
      </c>
      <c r="R7" s="2">
        <v>179260.12</v>
      </c>
      <c r="S7" s="92">
        <f>(R7-O7)/O7</f>
        <v>0.018726363295053023</v>
      </c>
      <c r="T7" t="s">
        <v>376</v>
      </c>
    </row>
    <row r="8" spans="1:21" ht="12.75">
      <c r="A8" t="s">
        <v>638</v>
      </c>
      <c r="B8" s="4">
        <v>51.12</v>
      </c>
      <c r="C8" s="2"/>
      <c r="D8" s="2"/>
      <c r="E8" s="2"/>
      <c r="F8" s="2"/>
      <c r="G8" s="2"/>
      <c r="H8" s="2"/>
      <c r="I8" s="2">
        <v>18500</v>
      </c>
      <c r="J8" s="2">
        <v>1866</v>
      </c>
      <c r="K8" s="2">
        <v>390</v>
      </c>
      <c r="L8" s="2">
        <v>6277</v>
      </c>
      <c r="M8" s="2"/>
      <c r="N8" s="2"/>
      <c r="O8" s="2"/>
      <c r="P8" s="2"/>
      <c r="Q8" s="2"/>
      <c r="R8" s="2"/>
      <c r="S8" s="92" t="e">
        <f>(R8-O8)/O8</f>
        <v>#DIV/0!</v>
      </c>
      <c r="T8" t="s">
        <v>515</v>
      </c>
      <c r="U8" s="172"/>
    </row>
    <row r="9" spans="1:20" ht="12.75">
      <c r="A9" t="s">
        <v>494</v>
      </c>
      <c r="B9" s="4">
        <v>51.21</v>
      </c>
      <c r="C9" s="2">
        <v>10362</v>
      </c>
      <c r="D9" s="2">
        <v>12586</v>
      </c>
      <c r="E9" s="2">
        <v>15933</v>
      </c>
      <c r="F9" s="2">
        <v>14221</v>
      </c>
      <c r="G9" s="2">
        <v>15125</v>
      </c>
      <c r="H9" s="2">
        <v>15349</v>
      </c>
      <c r="I9" s="2">
        <v>15920</v>
      </c>
      <c r="J9" s="2">
        <v>16992</v>
      </c>
      <c r="K9" s="2">
        <v>20045</v>
      </c>
      <c r="L9" s="2">
        <v>20544</v>
      </c>
      <c r="M9" s="2">
        <v>15217</v>
      </c>
      <c r="N9" s="2">
        <f>+M9/$M$3*12</f>
        <v>18260.4</v>
      </c>
      <c r="O9" s="31">
        <v>24000</v>
      </c>
      <c r="P9" s="31">
        <v>24600</v>
      </c>
      <c r="Q9" s="31">
        <f>5*4920</f>
        <v>24600</v>
      </c>
      <c r="R9" s="31">
        <f>5*4920</f>
        <v>24600</v>
      </c>
      <c r="S9" s="92">
        <f>(R9-O9)/O9</f>
        <v>0.025</v>
      </c>
      <c r="T9" t="s">
        <v>825</v>
      </c>
    </row>
    <row r="10" spans="1:19" ht="12.75">
      <c r="A10" t="s">
        <v>139</v>
      </c>
      <c r="B10" s="4">
        <v>51.22</v>
      </c>
      <c r="C10" s="2">
        <v>8785</v>
      </c>
      <c r="D10" s="2">
        <v>9535</v>
      </c>
      <c r="E10" s="2">
        <v>10222</v>
      </c>
      <c r="F10" s="2">
        <v>11658</v>
      </c>
      <c r="G10" s="2">
        <v>11910</v>
      </c>
      <c r="H10" s="2">
        <v>12562</v>
      </c>
      <c r="I10" s="2">
        <v>14740</v>
      </c>
      <c r="J10" s="2">
        <v>14183</v>
      </c>
      <c r="K10" s="2">
        <v>15243</v>
      </c>
      <c r="L10" s="2">
        <v>16344.22</v>
      </c>
      <c r="M10" s="2">
        <v>11317</v>
      </c>
      <c r="N10" s="2">
        <f>+M10/$M$3*12</f>
        <v>13580.400000000001</v>
      </c>
      <c r="O10" s="2">
        <v>13461.317655159373</v>
      </c>
      <c r="P10" s="2">
        <f>(P7+P8)*0.0765</f>
        <v>13713.39</v>
      </c>
      <c r="Q10" s="2">
        <f>(Q7+Q8)*0.0765</f>
        <v>13713.399179999999</v>
      </c>
      <c r="R10" s="2">
        <f>(R7+R8)*0.0765</f>
        <v>13713.399179999999</v>
      </c>
      <c r="S10" s="92">
        <f>(R10-O10)/O10</f>
        <v>0.018726363295052985</v>
      </c>
    </row>
    <row r="11" spans="1:19" ht="12.75">
      <c r="A11" t="s">
        <v>211</v>
      </c>
      <c r="B11" s="4">
        <v>51.24</v>
      </c>
      <c r="C11" s="2">
        <v>2668</v>
      </c>
      <c r="D11" s="2">
        <v>2682</v>
      </c>
      <c r="E11" s="2">
        <v>2803</v>
      </c>
      <c r="F11" s="2">
        <v>3188</v>
      </c>
      <c r="G11" s="2">
        <v>3262</v>
      </c>
      <c r="H11" s="2">
        <v>3298</v>
      </c>
      <c r="I11" s="2">
        <v>3863</v>
      </c>
      <c r="J11" s="2">
        <v>4334</v>
      </c>
      <c r="K11" s="2">
        <v>4722</v>
      </c>
      <c r="L11" s="2">
        <v>4926</v>
      </c>
      <c r="M11" s="2">
        <v>1569.16</v>
      </c>
      <c r="N11" s="2">
        <v>1569</v>
      </c>
      <c r="O11" s="20">
        <v>3515</v>
      </c>
      <c r="P11" s="2">
        <v>2000</v>
      </c>
      <c r="Q11" s="20">
        <v>2000</v>
      </c>
      <c r="R11" s="20">
        <v>2000</v>
      </c>
      <c r="S11" s="92">
        <f>(R11-O11)/O11</f>
        <v>-0.4310099573257468</v>
      </c>
    </row>
    <row r="12" spans="1:20" ht="12.75">
      <c r="A12" t="s">
        <v>152</v>
      </c>
      <c r="B12" s="4"/>
      <c r="C12" s="2"/>
      <c r="D12" s="2"/>
      <c r="E12" s="2"/>
      <c r="F12" s="2"/>
      <c r="G12" s="2"/>
      <c r="H12" s="2"/>
      <c r="I12" s="2"/>
      <c r="J12" s="2">
        <v>570</v>
      </c>
      <c r="K12" s="2">
        <v>121</v>
      </c>
      <c r="L12" s="2"/>
      <c r="M12" s="2"/>
      <c r="N12" s="2"/>
      <c r="O12" s="20">
        <v>0</v>
      </c>
      <c r="P12" s="2"/>
      <c r="Q12" s="20"/>
      <c r="R12" s="20"/>
      <c r="S12" s="92"/>
      <c r="T12" s="18"/>
    </row>
    <row r="13" spans="2:20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"/>
      <c r="P13" s="2"/>
      <c r="Q13" s="20"/>
      <c r="R13" s="20"/>
      <c r="S13" s="92"/>
      <c r="T13" s="18"/>
    </row>
    <row r="14" spans="1:20" ht="12.75">
      <c r="A14" t="s">
        <v>764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2500</v>
      </c>
      <c r="O14" s="20">
        <v>2500</v>
      </c>
      <c r="P14" s="2"/>
      <c r="Q14" s="20"/>
      <c r="R14" s="20"/>
      <c r="S14" s="92"/>
      <c r="T14" s="18"/>
    </row>
    <row r="15" spans="1:20" ht="12.75">
      <c r="A15" t="s">
        <v>95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998</v>
      </c>
      <c r="N15" s="2">
        <v>998</v>
      </c>
      <c r="O15" s="20">
        <v>1000</v>
      </c>
      <c r="P15" s="2"/>
      <c r="Q15" s="20"/>
      <c r="R15" s="20"/>
      <c r="S15" s="92"/>
      <c r="T15" s="18"/>
    </row>
    <row r="16" spans="1:20" ht="12.75">
      <c r="A16" t="s">
        <v>206</v>
      </c>
      <c r="B16" s="4">
        <v>52.121</v>
      </c>
      <c r="C16" s="2"/>
      <c r="D16" s="2"/>
      <c r="E16" s="2"/>
      <c r="F16" s="2"/>
      <c r="G16" s="2"/>
      <c r="H16" s="2"/>
      <c r="I16" s="2">
        <f>95+134</f>
        <v>229</v>
      </c>
      <c r="J16" s="2">
        <v>747</v>
      </c>
      <c r="K16" s="2">
        <v>157</v>
      </c>
      <c r="L16" s="2"/>
      <c r="M16" s="2"/>
      <c r="N16" s="2">
        <f aca="true" t="shared" si="0" ref="N16:N23">+M16/$M$3*12</f>
        <v>0</v>
      </c>
      <c r="O16" s="20">
        <v>0</v>
      </c>
      <c r="P16" s="2">
        <v>500</v>
      </c>
      <c r="Q16" s="20"/>
      <c r="R16" s="20"/>
      <c r="S16" s="92"/>
      <c r="T16" s="18"/>
    </row>
    <row r="17" spans="1:20" ht="12.75">
      <c r="A17" t="s">
        <v>212</v>
      </c>
      <c r="B17" s="4">
        <v>52.1315</v>
      </c>
      <c r="C17" s="2"/>
      <c r="D17" s="2"/>
      <c r="E17" s="2">
        <v>1976</v>
      </c>
      <c r="F17" s="2">
        <v>2756</v>
      </c>
      <c r="G17" s="2">
        <v>2755</v>
      </c>
      <c r="H17" s="2">
        <v>2350</v>
      </c>
      <c r="I17" s="2">
        <v>2838</v>
      </c>
      <c r="J17" s="2">
        <v>2033</v>
      </c>
      <c r="K17" s="2">
        <v>4772</v>
      </c>
      <c r="L17" s="2">
        <v>2768</v>
      </c>
      <c r="M17" s="2">
        <v>3120</v>
      </c>
      <c r="N17" s="2">
        <f t="shared" si="0"/>
        <v>3744</v>
      </c>
      <c r="O17" s="2">
        <v>2280</v>
      </c>
      <c r="P17" s="2">
        <v>4000</v>
      </c>
      <c r="Q17" s="2">
        <v>2500</v>
      </c>
      <c r="R17" s="2">
        <v>2500</v>
      </c>
      <c r="S17" s="92">
        <f>(R17-O17)/O17</f>
        <v>0.09649122807017543</v>
      </c>
      <c r="T17" s="2"/>
    </row>
    <row r="18" spans="1:19" ht="12.75">
      <c r="A18" t="s">
        <v>55</v>
      </c>
      <c r="B18" s="4">
        <v>52.1316</v>
      </c>
      <c r="C18" s="2">
        <v>6133</v>
      </c>
      <c r="D18" s="2">
        <v>5869</v>
      </c>
      <c r="E18" s="2">
        <v>2355</v>
      </c>
      <c r="F18" s="2">
        <v>1478</v>
      </c>
      <c r="G18" s="2">
        <v>1592</v>
      </c>
      <c r="H18" s="2">
        <v>2614</v>
      </c>
      <c r="I18" s="2">
        <v>2445</v>
      </c>
      <c r="J18" s="2">
        <v>2687</v>
      </c>
      <c r="K18" s="2">
        <v>1386</v>
      </c>
      <c r="L18" s="2">
        <v>1546</v>
      </c>
      <c r="M18" s="2">
        <v>1125</v>
      </c>
      <c r="N18" s="2">
        <f t="shared" si="0"/>
        <v>1350</v>
      </c>
      <c r="O18" s="2">
        <v>1900</v>
      </c>
      <c r="P18" s="2">
        <v>2100</v>
      </c>
      <c r="Q18" s="2">
        <v>1500</v>
      </c>
      <c r="R18" s="2">
        <v>1500</v>
      </c>
      <c r="S18" s="92">
        <f>(R18-O18)/O18</f>
        <v>-0.21052631578947367</v>
      </c>
    </row>
    <row r="19" spans="1:19" ht="12.75">
      <c r="A19" t="s">
        <v>669</v>
      </c>
      <c r="B19" s="4">
        <v>52.2202</v>
      </c>
      <c r="C19" s="2"/>
      <c r="D19" s="2"/>
      <c r="E19" s="2">
        <v>223</v>
      </c>
      <c r="F19" s="2">
        <v>1146</v>
      </c>
      <c r="G19" s="2">
        <v>782</v>
      </c>
      <c r="H19" s="2">
        <v>960</v>
      </c>
      <c r="I19" s="2">
        <v>944</v>
      </c>
      <c r="J19" s="2">
        <f>1048+315</f>
        <v>1363</v>
      </c>
      <c r="K19" s="2">
        <v>1943</v>
      </c>
      <c r="L19" s="2">
        <v>1200</v>
      </c>
      <c r="M19" s="2">
        <v>1200</v>
      </c>
      <c r="N19" s="2">
        <v>1200</v>
      </c>
      <c r="O19" s="2">
        <v>1187.5</v>
      </c>
      <c r="P19" s="2">
        <v>2380</v>
      </c>
      <c r="Q19" s="2">
        <v>1200</v>
      </c>
      <c r="R19" s="2">
        <v>1200</v>
      </c>
      <c r="S19" s="92">
        <f>(R19-O19)/O19</f>
        <v>0.010526315789473684</v>
      </c>
    </row>
    <row r="20" spans="1:19" ht="12.75">
      <c r="A20" t="s">
        <v>1014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300</v>
      </c>
      <c r="Q20" s="2"/>
      <c r="R20" s="2"/>
      <c r="S20" s="92"/>
    </row>
    <row r="21" spans="1:19" ht="12.75">
      <c r="A21" t="s">
        <v>171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>
        <v>1793</v>
      </c>
      <c r="M21" s="2"/>
      <c r="N21" s="2"/>
      <c r="O21" s="2"/>
      <c r="P21" s="2"/>
      <c r="Q21" s="2"/>
      <c r="R21" s="2"/>
      <c r="S21" s="92"/>
    </row>
    <row r="22" spans="1:19" ht="12.75">
      <c r="A22" t="s">
        <v>141</v>
      </c>
      <c r="B22" s="4">
        <v>52.32</v>
      </c>
      <c r="C22" s="2">
        <v>2889</v>
      </c>
      <c r="D22" s="2">
        <v>2671</v>
      </c>
      <c r="E22" s="2">
        <v>2414</v>
      </c>
      <c r="F22" s="2">
        <v>3021</v>
      </c>
      <c r="G22" s="2">
        <v>2284</v>
      </c>
      <c r="H22" s="2">
        <v>2401</v>
      </c>
      <c r="I22" s="2">
        <v>4100</v>
      </c>
      <c r="J22" s="2">
        <v>4470</v>
      </c>
      <c r="K22" s="2">
        <v>3356</v>
      </c>
      <c r="L22" s="2">
        <v>3684</v>
      </c>
      <c r="M22" s="2">
        <v>2755</v>
      </c>
      <c r="N22" s="2">
        <f>+M22/$M$3*12</f>
        <v>3306</v>
      </c>
      <c r="O22" s="2">
        <v>2850</v>
      </c>
      <c r="P22" s="2">
        <v>2900</v>
      </c>
      <c r="Q22" s="2">
        <v>2900</v>
      </c>
      <c r="R22" s="2">
        <v>2900</v>
      </c>
      <c r="S22" s="92">
        <f>(R22-O22)/O22</f>
        <v>0.017543859649122806</v>
      </c>
    </row>
    <row r="23" spans="1:19" ht="12.75">
      <c r="A23" t="s">
        <v>142</v>
      </c>
      <c r="B23" s="4">
        <v>52.321</v>
      </c>
      <c r="C23" s="2">
        <v>2929</v>
      </c>
      <c r="D23" s="2">
        <v>2132</v>
      </c>
      <c r="E23" s="2">
        <v>2027</v>
      </c>
      <c r="F23" s="2">
        <v>2074</v>
      </c>
      <c r="G23" s="2">
        <v>2499</v>
      </c>
      <c r="H23" s="2">
        <v>2551</v>
      </c>
      <c r="I23" s="2">
        <v>2495</v>
      </c>
      <c r="J23" s="2">
        <v>2848</v>
      </c>
      <c r="K23" s="2">
        <f>3120+127</f>
        <v>3247</v>
      </c>
      <c r="L23" s="2">
        <f>2954+319</f>
        <v>3273</v>
      </c>
      <c r="M23" s="2">
        <v>2209</v>
      </c>
      <c r="N23" s="2">
        <f t="shared" si="0"/>
        <v>2650.8</v>
      </c>
      <c r="O23" s="2">
        <v>2850</v>
      </c>
      <c r="P23" s="2">
        <v>3500</v>
      </c>
      <c r="Q23" s="2">
        <v>2850</v>
      </c>
      <c r="R23" s="2">
        <v>2850</v>
      </c>
      <c r="S23" s="92">
        <f>(R23-O23)/O23</f>
        <v>0</v>
      </c>
    </row>
    <row r="24" spans="1:19" ht="12.75">
      <c r="A24" t="s">
        <v>1013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70</v>
      </c>
      <c r="Q24" s="2"/>
      <c r="R24" s="2"/>
      <c r="S24" s="92"/>
    </row>
    <row r="25" spans="1:19" ht="12.75">
      <c r="A25" t="s">
        <v>154</v>
      </c>
      <c r="B25" s="4">
        <v>52.35</v>
      </c>
      <c r="C25" s="2">
        <v>1300</v>
      </c>
      <c r="D25" s="2">
        <v>1698</v>
      </c>
      <c r="E25" s="2">
        <v>1635</v>
      </c>
      <c r="F25" s="2">
        <v>1716</v>
      </c>
      <c r="G25" s="2">
        <v>1819</v>
      </c>
      <c r="H25" s="2">
        <v>1667</v>
      </c>
      <c r="I25" s="2">
        <v>2456</v>
      </c>
      <c r="J25" s="2">
        <v>2002</v>
      </c>
      <c r="K25" s="2">
        <v>2105</v>
      </c>
      <c r="L25" s="2">
        <v>2208</v>
      </c>
      <c r="M25" s="2">
        <v>1514</v>
      </c>
      <c r="N25" s="2">
        <v>1500</v>
      </c>
      <c r="O25" s="2">
        <v>1805</v>
      </c>
      <c r="P25" s="2">
        <v>1550</v>
      </c>
      <c r="Q25" s="2">
        <v>1550</v>
      </c>
      <c r="R25" s="2">
        <v>1550</v>
      </c>
      <c r="S25" s="92">
        <f>(R25-O25)/O25</f>
        <v>-0.14127423822714683</v>
      </c>
    </row>
    <row r="26" spans="1:19" ht="12.75">
      <c r="A26" t="s">
        <v>769</v>
      </c>
      <c r="B26" s="4"/>
      <c r="C26" s="2"/>
      <c r="D26" s="2"/>
      <c r="E26" s="2"/>
      <c r="F26" s="2"/>
      <c r="G26" s="2"/>
      <c r="H26" s="2"/>
      <c r="I26" s="2"/>
      <c r="J26" s="2"/>
      <c r="K26" s="2">
        <v>300</v>
      </c>
      <c r="L26" s="2">
        <v>300</v>
      </c>
      <c r="M26" s="2">
        <v>35</v>
      </c>
      <c r="N26" s="2">
        <v>285</v>
      </c>
      <c r="O26" s="2">
        <v>285</v>
      </c>
      <c r="P26" s="2">
        <v>300</v>
      </c>
      <c r="Q26" s="2">
        <v>285</v>
      </c>
      <c r="R26" s="2">
        <v>285</v>
      </c>
      <c r="S26" s="92"/>
    </row>
    <row r="27" spans="1:19" ht="12.75">
      <c r="A27" t="s">
        <v>36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1000</v>
      </c>
      <c r="N27" s="2">
        <v>1000</v>
      </c>
      <c r="O27" s="2"/>
      <c r="P27" s="2"/>
      <c r="Q27" s="2"/>
      <c r="R27" s="2"/>
      <c r="S27" s="92"/>
    </row>
    <row r="28" spans="1:19" ht="12.75">
      <c r="A28" t="s">
        <v>213</v>
      </c>
      <c r="B28" s="4">
        <v>52.3602</v>
      </c>
      <c r="C28" s="2">
        <v>550</v>
      </c>
      <c r="D28" s="2">
        <v>375</v>
      </c>
      <c r="E28" s="2">
        <v>380</v>
      </c>
      <c r="F28" s="2">
        <v>415</v>
      </c>
      <c r="G28" s="2">
        <v>415</v>
      </c>
      <c r="H28" s="2">
        <v>250</v>
      </c>
      <c r="I28" s="2">
        <v>330</v>
      </c>
      <c r="J28" s="2">
        <v>350</v>
      </c>
      <c r="K28" s="2">
        <v>350</v>
      </c>
      <c r="L28" s="2">
        <v>350</v>
      </c>
      <c r="M28" s="2">
        <v>100</v>
      </c>
      <c r="N28" s="2">
        <v>350</v>
      </c>
      <c r="O28" s="2">
        <v>332.5</v>
      </c>
      <c r="P28" s="2">
        <v>1000</v>
      </c>
      <c r="Q28" s="2">
        <v>350</v>
      </c>
      <c r="R28" s="2">
        <v>350</v>
      </c>
      <c r="S28" s="92">
        <f>(R28-O28)/O28</f>
        <v>0.05263157894736842</v>
      </c>
    </row>
    <row r="29" spans="1:20" ht="12.75">
      <c r="A29" t="s">
        <v>149</v>
      </c>
      <c r="B29" s="4">
        <v>53.171</v>
      </c>
      <c r="C29" s="2">
        <v>13174</v>
      </c>
      <c r="D29" s="2">
        <v>10837</v>
      </c>
      <c r="E29" s="2">
        <v>9536</v>
      </c>
      <c r="F29" s="2">
        <v>9916</v>
      </c>
      <c r="G29" s="2">
        <v>14151</v>
      </c>
      <c r="H29" s="2">
        <v>13161</v>
      </c>
      <c r="I29" s="2">
        <v>14175</v>
      </c>
      <c r="J29" s="2">
        <v>13126</v>
      </c>
      <c r="K29" s="2">
        <v>14274</v>
      </c>
      <c r="L29" s="2">
        <f>9986+2176</f>
        <v>12162</v>
      </c>
      <c r="M29" s="2">
        <v>12968</v>
      </c>
      <c r="N29" s="2">
        <f>+M29/$M$3*12</f>
        <v>15561.599999999999</v>
      </c>
      <c r="O29" s="2">
        <v>12350</v>
      </c>
      <c r="P29" s="2">
        <v>13585</v>
      </c>
      <c r="Q29" s="2">
        <v>12350</v>
      </c>
      <c r="R29" s="2">
        <v>12350</v>
      </c>
      <c r="S29" s="92">
        <f>(R29-O29)/O29</f>
        <v>0</v>
      </c>
      <c r="T29" s="2"/>
    </row>
    <row r="30" spans="1:20" ht="12.75">
      <c r="A30" t="s">
        <v>576</v>
      </c>
      <c r="B30" s="4">
        <v>53.16</v>
      </c>
      <c r="C30" s="2"/>
      <c r="D30" s="2"/>
      <c r="E30" s="2"/>
      <c r="F30" s="2"/>
      <c r="G30" s="2"/>
      <c r="H30" s="2">
        <v>1500</v>
      </c>
      <c r="I30" s="2"/>
      <c r="J30" s="2"/>
      <c r="K30" s="2">
        <v>5348</v>
      </c>
      <c r="L30" s="2"/>
      <c r="M30" s="2"/>
      <c r="N30" s="2"/>
      <c r="O30" s="2">
        <v>0</v>
      </c>
      <c r="P30" s="2"/>
      <c r="Q30" s="2"/>
      <c r="R30" s="2"/>
      <c r="S30" s="92"/>
      <c r="T30" s="20"/>
    </row>
    <row r="31" spans="1:20" ht="12.75">
      <c r="A31" t="s">
        <v>770</v>
      </c>
      <c r="B31" s="4">
        <v>52.2312</v>
      </c>
      <c r="C31" s="2"/>
      <c r="D31" s="2"/>
      <c r="E31" s="2"/>
      <c r="F31" s="2"/>
      <c r="G31" s="2"/>
      <c r="H31" s="2"/>
      <c r="I31" s="2"/>
      <c r="J31" s="2">
        <v>400</v>
      </c>
      <c r="K31" s="2">
        <v>1300</v>
      </c>
      <c r="L31" s="2"/>
      <c r="M31" s="2">
        <v>1200</v>
      </c>
      <c r="N31" s="2">
        <v>1200</v>
      </c>
      <c r="O31" s="2">
        <v>1200</v>
      </c>
      <c r="P31" s="2">
        <v>1200</v>
      </c>
      <c r="Q31" s="2">
        <v>1200</v>
      </c>
      <c r="R31" s="2">
        <v>1200</v>
      </c>
      <c r="S31" s="92"/>
      <c r="T31" s="20"/>
    </row>
    <row r="32" spans="1:20" ht="12.75">
      <c r="A32" t="s">
        <v>967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>
        <v>292</v>
      </c>
      <c r="M32" s="2"/>
      <c r="N32" s="2"/>
      <c r="O32" s="2"/>
      <c r="P32" s="2"/>
      <c r="Q32" s="2"/>
      <c r="R32" s="2"/>
      <c r="S32" s="92"/>
      <c r="T32" s="20"/>
    </row>
    <row r="33" spans="1:20" ht="12.75">
      <c r="A33" t="s">
        <v>76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1100</v>
      </c>
      <c r="Q33" s="2">
        <v>1100</v>
      </c>
      <c r="R33" s="2">
        <v>1100</v>
      </c>
      <c r="S33" s="92"/>
      <c r="T33" s="20" t="s">
        <v>582</v>
      </c>
    </row>
    <row r="34" spans="1:19" ht="12.75">
      <c r="A34" t="s">
        <v>96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635</v>
      </c>
      <c r="N34" s="2">
        <v>635</v>
      </c>
      <c r="O34" s="2">
        <v>500</v>
      </c>
      <c r="P34" s="2">
        <v>3000</v>
      </c>
      <c r="Q34" s="2"/>
      <c r="R34" s="2"/>
      <c r="S34" s="52"/>
    </row>
    <row r="35" spans="1:19" ht="12.75">
      <c r="A35" t="s">
        <v>562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1020</v>
      </c>
      <c r="N35" s="2">
        <v>1020</v>
      </c>
      <c r="O35" s="2">
        <v>1000</v>
      </c>
      <c r="P35" s="2"/>
      <c r="Q35" s="2"/>
      <c r="R35" s="2"/>
      <c r="S35" s="52"/>
    </row>
    <row r="36" spans="1:19" ht="12.75">
      <c r="A36" t="s">
        <v>97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1295</v>
      </c>
      <c r="N36" s="2">
        <v>1295</v>
      </c>
      <c r="O36" s="2">
        <v>1500</v>
      </c>
      <c r="P36" s="2"/>
      <c r="Q36" s="2"/>
      <c r="R36" s="2"/>
      <c r="S36" s="52"/>
    </row>
    <row r="37" spans="1:19" ht="12.75">
      <c r="A37" t="s">
        <v>1015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2500</v>
      </c>
      <c r="Q37" s="2"/>
      <c r="R37" s="2">
        <v>2500</v>
      </c>
      <c r="S37" s="52"/>
    </row>
    <row r="38" spans="1:19" ht="12.75">
      <c r="A38" t="s">
        <v>164</v>
      </c>
      <c r="B38" s="4">
        <v>54.23</v>
      </c>
      <c r="C38" s="2"/>
      <c r="D38" s="2"/>
      <c r="E38" s="2"/>
      <c r="F38" s="2"/>
      <c r="G38" s="2"/>
      <c r="H38" s="2"/>
      <c r="I38" s="2">
        <v>670</v>
      </c>
      <c r="J38" s="2"/>
      <c r="K38" s="2"/>
      <c r="L38" s="2"/>
      <c r="M38" s="2"/>
      <c r="N38" s="2"/>
      <c r="O38" s="2"/>
      <c r="P38" s="2"/>
      <c r="Q38" s="2"/>
      <c r="R38" s="2"/>
      <c r="S38" s="52"/>
    </row>
    <row r="39" spans="1:20" ht="12.75">
      <c r="A39" t="s">
        <v>164</v>
      </c>
      <c r="B39" s="4">
        <v>54.25</v>
      </c>
      <c r="C39" s="5"/>
      <c r="D39" s="5"/>
      <c r="E39" s="5"/>
      <c r="F39" s="2">
        <v>240</v>
      </c>
      <c r="G39" s="2">
        <v>699</v>
      </c>
      <c r="H39" s="2">
        <v>1010</v>
      </c>
      <c r="I39" s="2">
        <v>11384</v>
      </c>
      <c r="J39" s="2">
        <v>9557</v>
      </c>
      <c r="K39" s="2"/>
      <c r="L39" s="2"/>
      <c r="M39" s="2"/>
      <c r="N39" s="2"/>
      <c r="O39" s="2"/>
      <c r="P39" s="20"/>
      <c r="Q39" s="2"/>
      <c r="R39" s="2"/>
      <c r="S39" s="52"/>
      <c r="T39" s="33"/>
    </row>
    <row r="40" spans="1:19" ht="12.75">
      <c r="A40" t="s">
        <v>323</v>
      </c>
      <c r="B40" s="4" t="s">
        <v>117</v>
      </c>
      <c r="C40" s="5">
        <v>695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2"/>
      <c r="O40" s="2"/>
      <c r="P40" s="5"/>
      <c r="Q40" s="2"/>
      <c r="R40" s="2"/>
      <c r="S40" s="52"/>
    </row>
    <row r="41" spans="1:19" ht="12.75">
      <c r="A41" t="s">
        <v>384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2"/>
    </row>
    <row r="42" spans="1:19" ht="12.75">
      <c r="A42" s="6" t="s">
        <v>116</v>
      </c>
      <c r="B42" s="6"/>
      <c r="C42" s="8">
        <f aca="true" t="shared" si="1" ref="C42:I42">SUM(C7:C41)</f>
        <v>173152</v>
      </c>
      <c r="D42" s="8">
        <f t="shared" si="1"/>
        <v>177817</v>
      </c>
      <c r="E42" s="8">
        <f t="shared" si="1"/>
        <v>186967</v>
      </c>
      <c r="F42" s="8">
        <f t="shared" si="1"/>
        <v>207253</v>
      </c>
      <c r="G42" s="8">
        <f t="shared" si="1"/>
        <v>218027</v>
      </c>
      <c r="H42" s="8">
        <f t="shared" si="1"/>
        <v>231072</v>
      </c>
      <c r="I42" s="8">
        <f t="shared" si="1"/>
        <v>278540</v>
      </c>
      <c r="J42" s="8">
        <v>270720</v>
      </c>
      <c r="K42" s="8">
        <f aca="true" t="shared" si="2" ref="K42:R42">SUM(K7:K41)</f>
        <v>286151</v>
      </c>
      <c r="L42" s="8">
        <v>295695</v>
      </c>
      <c r="M42" s="8">
        <f t="shared" si="2"/>
        <v>216582.16</v>
      </c>
      <c r="N42" s="8">
        <f t="shared" si="2"/>
        <v>260771.19999999998</v>
      </c>
      <c r="O42" s="8">
        <f t="shared" si="2"/>
        <v>250481.25432390935</v>
      </c>
      <c r="P42" s="8">
        <f t="shared" si="2"/>
        <v>259558.39</v>
      </c>
      <c r="Q42" s="8">
        <f t="shared" si="2"/>
        <v>247358.51918</v>
      </c>
      <c r="R42" s="8">
        <f t="shared" si="2"/>
        <v>249858.51918</v>
      </c>
      <c r="S42" s="53">
        <f>(R42-O42)/O42</f>
        <v>-0.0024861546848693856</v>
      </c>
    </row>
    <row r="43" spans="3:18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t="s">
        <v>340</v>
      </c>
      <c r="B44">
        <v>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2" t="s">
        <v>488</v>
      </c>
      <c r="P44" s="22"/>
      <c r="Q44" s="56">
        <f>P42-Q42</f>
        <v>12199.870820000011</v>
      </c>
      <c r="R44" s="2"/>
    </row>
    <row r="45" spans="15:17" ht="12.75">
      <c r="O45" s="22" t="s">
        <v>761</v>
      </c>
      <c r="P45" s="22"/>
      <c r="Q45" s="56">
        <f>O42-Q42</f>
        <v>3122.7351439093472</v>
      </c>
    </row>
    <row r="46" spans="15:17" ht="12.75">
      <c r="O46" s="22" t="s">
        <v>436</v>
      </c>
      <c r="P46" s="22"/>
      <c r="Q46" s="56">
        <f>Q42-R42</f>
        <v>-2500</v>
      </c>
    </row>
    <row r="47" ht="12.75">
      <c r="A47" t="s">
        <v>37</v>
      </c>
    </row>
    <row r="48" ht="12.75">
      <c r="A48" t="s">
        <v>742</v>
      </c>
    </row>
    <row r="49" ht="12.75">
      <c r="A49" t="s">
        <v>31</v>
      </c>
    </row>
    <row r="50" ht="12.75">
      <c r="A50" t="s">
        <v>77</v>
      </c>
    </row>
    <row r="51" ht="12.75">
      <c r="A51" s="6"/>
    </row>
    <row r="53" ht="12.75">
      <c r="A53" s="6"/>
    </row>
    <row r="56" ht="12.75">
      <c r="O56" s="5"/>
    </row>
    <row r="59" ht="12.75">
      <c r="O59" s="5"/>
    </row>
    <row r="60" ht="12.75">
      <c r="O60" s="5"/>
    </row>
    <row r="61" ht="12.75">
      <c r="O61" s="5"/>
    </row>
    <row r="69" ht="12.75">
      <c r="S69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3"/>
  <headerFooter alignWithMargins="0">
    <oddFooter>&amp;L&amp;F
&amp;A&amp;CPage &amp;P of &amp;N&amp;R&amp;D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78"/>
  <sheetViews>
    <sheetView zoomScale="75" zoomScaleNormal="75" workbookViewId="0" topLeftCell="A1">
      <selection activeCell="R43" sqref="R43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6" width="6.8515625" style="0" hidden="1" customWidth="1"/>
    <col min="7" max="8" width="8.140625" style="0" hidden="1" customWidth="1"/>
    <col min="9" max="12" width="8.140625" style="0" customWidth="1"/>
    <col min="13" max="13" width="6.8515625" style="0" bestFit="1" customWidth="1"/>
    <col min="14" max="14" width="9.28125" style="0" bestFit="1" customWidth="1"/>
    <col min="15" max="15" width="11.57421875" style="0" customWidth="1"/>
    <col min="16" max="16" width="9.28125" style="0" bestFit="1" customWidth="1"/>
    <col min="17" max="17" width="11.7109375" style="0" customWidth="1"/>
    <col min="18" max="18" width="8.140625" style="0" bestFit="1" customWidth="1"/>
    <col min="19" max="19" width="9.57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453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s="61" t="s">
        <v>118</v>
      </c>
      <c r="B6" s="61"/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3" t="s">
        <v>115</v>
      </c>
    </row>
    <row r="7" spans="1:19" ht="12.75">
      <c r="A7" t="s">
        <v>489</v>
      </c>
      <c r="B7" s="4">
        <v>52.385</v>
      </c>
      <c r="C7" s="2">
        <v>289</v>
      </c>
      <c r="D7" s="2">
        <v>1270</v>
      </c>
      <c r="E7" s="2">
        <v>83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2"/>
    </row>
    <row r="8" spans="1:19" ht="12.75">
      <c r="A8" t="s">
        <v>148</v>
      </c>
      <c r="B8" s="4">
        <v>53.12</v>
      </c>
      <c r="C8" s="2">
        <v>1923</v>
      </c>
      <c r="D8" s="2">
        <v>1838</v>
      </c>
      <c r="E8" s="2">
        <v>178</v>
      </c>
      <c r="F8" s="2">
        <v>1820</v>
      </c>
      <c r="G8" s="2">
        <v>1727</v>
      </c>
      <c r="H8" s="2">
        <v>1703</v>
      </c>
      <c r="I8" s="2">
        <v>1659</v>
      </c>
      <c r="J8" s="2">
        <v>2915</v>
      </c>
      <c r="K8" s="2">
        <v>3100</v>
      </c>
      <c r="L8" s="2">
        <v>2813</v>
      </c>
      <c r="M8" s="2">
        <v>2047</v>
      </c>
      <c r="N8" s="2">
        <f>+M8/$M$3*12</f>
        <v>2456.3999999999996</v>
      </c>
      <c r="O8" s="2">
        <v>1900</v>
      </c>
      <c r="P8" s="2">
        <v>1900</v>
      </c>
      <c r="Q8" s="2">
        <v>1900</v>
      </c>
      <c r="R8" s="2">
        <v>1900</v>
      </c>
      <c r="S8" s="92">
        <f>(R8-O8)/O8</f>
        <v>0</v>
      </c>
    </row>
    <row r="9" spans="1:19" ht="12.75">
      <c r="A9" t="s">
        <v>369</v>
      </c>
      <c r="B9" s="4">
        <v>53.13</v>
      </c>
      <c r="C9" s="2"/>
      <c r="D9" s="2"/>
      <c r="E9" s="2">
        <v>1573</v>
      </c>
      <c r="F9" s="2"/>
      <c r="G9" s="2"/>
      <c r="H9" s="2"/>
      <c r="I9" s="2"/>
      <c r="J9" s="2"/>
      <c r="K9" s="2"/>
      <c r="L9" s="2"/>
      <c r="M9" s="2"/>
      <c r="N9" s="2"/>
      <c r="P9" s="2"/>
      <c r="S9" s="92"/>
    </row>
    <row r="10" spans="1:19" ht="12.75">
      <c r="A10" t="s">
        <v>214</v>
      </c>
      <c r="B10" s="4">
        <v>57.106</v>
      </c>
      <c r="C10" s="2">
        <v>4800</v>
      </c>
      <c r="D10" s="2">
        <v>4800</v>
      </c>
      <c r="E10" s="2">
        <v>4800</v>
      </c>
      <c r="F10" s="2">
        <v>4800</v>
      </c>
      <c r="G10" s="2">
        <v>4800</v>
      </c>
      <c r="H10" s="2">
        <v>4800</v>
      </c>
      <c r="I10" s="2">
        <v>4800</v>
      </c>
      <c r="J10" s="2">
        <v>4800</v>
      </c>
      <c r="K10" s="2">
        <v>4800</v>
      </c>
      <c r="L10" s="2">
        <v>7200</v>
      </c>
      <c r="M10" s="2">
        <v>5130</v>
      </c>
      <c r="N10" s="2">
        <v>6840</v>
      </c>
      <c r="O10" s="2">
        <v>6840</v>
      </c>
      <c r="P10" s="2">
        <v>10756</v>
      </c>
      <c r="Q10" s="2">
        <v>6840</v>
      </c>
      <c r="R10" s="2">
        <v>6840</v>
      </c>
      <c r="S10" s="92">
        <f>(R10-O10)/O10</f>
        <v>0</v>
      </c>
    </row>
    <row r="11" spans="1:19" ht="12.75">
      <c r="A11" t="s">
        <v>324</v>
      </c>
      <c r="B11" s="4" t="s">
        <v>117</v>
      </c>
      <c r="C11" s="2">
        <v>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2"/>
    </row>
    <row r="12" spans="1:19" ht="12.75">
      <c r="A12" t="s">
        <v>200</v>
      </c>
      <c r="B12" s="4" t="s">
        <v>117</v>
      </c>
      <c r="C12" s="2">
        <v>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2"/>
    </row>
    <row r="13" spans="3:19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2"/>
    </row>
    <row r="14" spans="1:19" ht="12.75">
      <c r="A14" s="6" t="s">
        <v>116</v>
      </c>
      <c r="B14" s="6"/>
      <c r="C14" s="8">
        <f>SUM(C7:C12)</f>
        <v>7071</v>
      </c>
      <c r="D14" s="8">
        <f>SUM(D7:D12)</f>
        <v>7908</v>
      </c>
      <c r="E14" s="8">
        <f>SUM(E7:E13)</f>
        <v>6634</v>
      </c>
      <c r="F14" s="8">
        <f>SUM(F7:F13)</f>
        <v>6620</v>
      </c>
      <c r="G14" s="8">
        <f>SUM(G7:G13)</f>
        <v>6527</v>
      </c>
      <c r="H14" s="8">
        <f>SUM(H7:H13)</f>
        <v>6503</v>
      </c>
      <c r="I14" s="8">
        <f>SUM(I7:I13)</f>
        <v>6459</v>
      </c>
      <c r="J14" s="8">
        <v>7715</v>
      </c>
      <c r="K14" s="8">
        <f aca="true" t="shared" si="0" ref="K14:R14">SUM(K7:K12)</f>
        <v>7900</v>
      </c>
      <c r="L14" s="8">
        <v>10013</v>
      </c>
      <c r="M14" s="8">
        <f t="shared" si="0"/>
        <v>7177</v>
      </c>
      <c r="N14" s="8">
        <f t="shared" si="0"/>
        <v>9296.4</v>
      </c>
      <c r="O14" s="8">
        <f t="shared" si="0"/>
        <v>8740</v>
      </c>
      <c r="P14" s="8">
        <f t="shared" si="0"/>
        <v>12656</v>
      </c>
      <c r="Q14" s="8">
        <f t="shared" si="0"/>
        <v>8740</v>
      </c>
      <c r="R14" s="8">
        <f t="shared" si="0"/>
        <v>8740</v>
      </c>
      <c r="S14" s="52">
        <f>(R14-O14)/O14</f>
        <v>0</v>
      </c>
    </row>
    <row r="15" spans="3:19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2"/>
    </row>
    <row r="16" spans="3:19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" t="s">
        <v>488</v>
      </c>
      <c r="P16" s="22"/>
      <c r="Q16" s="56">
        <f>P14-Q14</f>
        <v>3916</v>
      </c>
      <c r="R16" s="2"/>
      <c r="S16" s="52"/>
    </row>
    <row r="17" spans="1:19" ht="12.75">
      <c r="A17" s="6"/>
      <c r="O17" s="22" t="s">
        <v>761</v>
      </c>
      <c r="P17" s="22"/>
      <c r="Q17" s="56">
        <f>O14-Q14</f>
        <v>0</v>
      </c>
      <c r="S17" s="52"/>
    </row>
    <row r="18" spans="15:19" ht="12.75">
      <c r="O18" s="22" t="s">
        <v>436</v>
      </c>
      <c r="P18" s="22"/>
      <c r="Q18" s="56">
        <f>Q14-R14</f>
        <v>0</v>
      </c>
      <c r="S18" s="52"/>
    </row>
    <row r="19" ht="12.75">
      <c r="S19" s="52"/>
    </row>
    <row r="20" spans="1:21" ht="12.75">
      <c r="A20" s="6"/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60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V69"/>
  <sheetViews>
    <sheetView zoomScale="75" zoomScaleNormal="75" workbookViewId="0" topLeftCell="A1">
      <selection activeCell="AA19" sqref="AA1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3.57421875" style="0" hidden="1" customWidth="1"/>
    <col min="4" max="4" width="8.7109375" style="0" hidden="1" customWidth="1"/>
    <col min="5" max="5" width="9.140625" style="0" hidden="1" customWidth="1"/>
    <col min="6" max="9" width="8.7109375" style="0" hidden="1" customWidth="1"/>
    <col min="10" max="12" width="8.7109375" style="0" customWidth="1"/>
    <col min="13" max="13" width="8.28125" style="0" bestFit="1" customWidth="1"/>
    <col min="14" max="14" width="9.7109375" style="0" bestFit="1" customWidth="1"/>
    <col min="15" max="15" width="12.140625" style="0" customWidth="1"/>
    <col min="17" max="17" width="10.7109375" style="0" bestFit="1" customWidth="1"/>
    <col min="18" max="18" width="11.140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spans="1:15" ht="12.75">
      <c r="A2" t="s">
        <v>107</v>
      </c>
      <c r="N2" s="170"/>
      <c r="O2" s="170"/>
    </row>
    <row r="3" spans="1:19" ht="12.75">
      <c r="A3" s="6" t="s">
        <v>455</v>
      </c>
      <c r="M3" s="57">
        <v>6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s="61" t="s">
        <v>118</v>
      </c>
      <c r="B6" s="61"/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22" ht="12.75">
      <c r="A7" s="22" t="s">
        <v>686</v>
      </c>
      <c r="B7" s="4">
        <v>51.11</v>
      </c>
      <c r="C7" s="2">
        <v>76809</v>
      </c>
      <c r="D7" s="2">
        <v>82058</v>
      </c>
      <c r="E7" s="2">
        <v>86099</v>
      </c>
      <c r="F7" s="2">
        <v>96565</v>
      </c>
      <c r="G7" s="2">
        <v>100960</v>
      </c>
      <c r="H7" s="2">
        <v>107114</v>
      </c>
      <c r="I7" s="2">
        <v>109140</v>
      </c>
      <c r="J7" s="2">
        <v>116538</v>
      </c>
      <c r="K7" s="2">
        <v>132432</v>
      </c>
      <c r="L7" s="2">
        <v>142480.58</v>
      </c>
      <c r="M7" s="2">
        <v>72394.2</v>
      </c>
      <c r="N7" s="2">
        <f>+M7/$M$3*12</f>
        <v>144788.4</v>
      </c>
      <c r="O7" s="2">
        <v>152388.99</v>
      </c>
      <c r="P7" s="2">
        <v>158284</v>
      </c>
      <c r="Q7" s="2">
        <v>158284.36</v>
      </c>
      <c r="R7" s="2">
        <v>158284.36</v>
      </c>
      <c r="S7" s="92">
        <f aca="true" t="shared" si="0" ref="S7:S23">(R7-O7)/O7</f>
        <v>0.03868632504224876</v>
      </c>
      <c r="T7" t="s">
        <v>376</v>
      </c>
      <c r="V7" s="173"/>
    </row>
    <row r="8" spans="1:19" ht="12.75">
      <c r="A8" s="22" t="s">
        <v>869</v>
      </c>
      <c r="B8" s="4">
        <v>52.1208</v>
      </c>
      <c r="C8" s="2"/>
      <c r="D8" s="2"/>
      <c r="E8" s="2"/>
      <c r="F8" s="2"/>
      <c r="G8" s="2"/>
      <c r="H8" s="2"/>
      <c r="I8" s="2"/>
      <c r="J8" s="2"/>
      <c r="K8" s="2">
        <v>2400</v>
      </c>
      <c r="L8" s="2"/>
      <c r="M8" s="2"/>
      <c r="N8" s="2"/>
      <c r="O8" s="2"/>
      <c r="P8" s="2"/>
      <c r="Q8" s="2"/>
      <c r="R8" s="2"/>
      <c r="S8" s="92"/>
    </row>
    <row r="9" spans="1:20" ht="12.75">
      <c r="A9" t="s">
        <v>494</v>
      </c>
      <c r="B9" s="4">
        <v>51.21</v>
      </c>
      <c r="C9" s="2">
        <v>6031</v>
      </c>
      <c r="D9" s="2">
        <v>7552</v>
      </c>
      <c r="E9" s="2">
        <v>9559</v>
      </c>
      <c r="F9" s="2">
        <v>8497</v>
      </c>
      <c r="G9" s="2">
        <v>9046</v>
      </c>
      <c r="H9" s="2">
        <v>9442</v>
      </c>
      <c r="I9" s="2">
        <v>9527</v>
      </c>
      <c r="J9" s="2">
        <v>10158</v>
      </c>
      <c r="K9" s="2">
        <v>11990</v>
      </c>
      <c r="L9" s="2">
        <v>12949</v>
      </c>
      <c r="M9" s="2">
        <v>6752.16</v>
      </c>
      <c r="N9" s="2">
        <f>+M9/$M$3*12</f>
        <v>13504.32</v>
      </c>
      <c r="O9" s="31">
        <v>14400</v>
      </c>
      <c r="P9" s="31">
        <v>14760</v>
      </c>
      <c r="Q9" s="31">
        <f>3*4920</f>
        <v>14760</v>
      </c>
      <c r="R9" s="31">
        <v>14760</v>
      </c>
      <c r="S9" s="92">
        <f t="shared" si="0"/>
        <v>0.025</v>
      </c>
      <c r="T9" t="s">
        <v>825</v>
      </c>
    </row>
    <row r="10" spans="1:19" ht="12.75">
      <c r="A10" t="s">
        <v>139</v>
      </c>
      <c r="B10" s="4">
        <v>51.22</v>
      </c>
      <c r="C10" s="2">
        <v>5875</v>
      </c>
      <c r="D10" s="2">
        <v>6277</v>
      </c>
      <c r="E10" s="2">
        <v>6586</v>
      </c>
      <c r="F10" s="2">
        <v>7405</v>
      </c>
      <c r="G10" s="2">
        <v>7709</v>
      </c>
      <c r="H10" s="2">
        <v>8174</v>
      </c>
      <c r="I10" s="2">
        <v>8301</v>
      </c>
      <c r="J10" s="2">
        <v>8863</v>
      </c>
      <c r="K10" s="2">
        <v>10082</v>
      </c>
      <c r="L10" s="2">
        <v>10854.12</v>
      </c>
      <c r="M10" s="2">
        <v>5502.94</v>
      </c>
      <c r="N10" s="2">
        <f>+M10/$M$3*12</f>
        <v>11005.88</v>
      </c>
      <c r="O10" s="2">
        <v>11657.757735</v>
      </c>
      <c r="P10" s="2">
        <v>12109</v>
      </c>
      <c r="Q10" s="2">
        <f>Q7*0.0765</f>
        <v>12108.753539999998</v>
      </c>
      <c r="R10" s="2">
        <v>12108.753539999998</v>
      </c>
      <c r="S10" s="92">
        <f t="shared" si="0"/>
        <v>0.03868632504224868</v>
      </c>
    </row>
    <row r="11" spans="1:19" ht="12.75">
      <c r="A11" t="s">
        <v>153</v>
      </c>
      <c r="B11" s="4">
        <v>51.24</v>
      </c>
      <c r="C11" s="2">
        <v>724</v>
      </c>
      <c r="D11" s="2">
        <v>879</v>
      </c>
      <c r="E11" s="2">
        <v>1254</v>
      </c>
      <c r="F11" s="2">
        <v>1596</v>
      </c>
      <c r="G11" s="2">
        <v>1779</v>
      </c>
      <c r="H11" s="2">
        <v>1827</v>
      </c>
      <c r="I11" s="2">
        <v>2105</v>
      </c>
      <c r="J11" s="2">
        <v>2311</v>
      </c>
      <c r="K11" s="2">
        <v>2730</v>
      </c>
      <c r="L11" s="2">
        <v>3507</v>
      </c>
      <c r="M11" s="2">
        <v>843.88</v>
      </c>
      <c r="N11" s="2">
        <f>+M11/$M$3*12</f>
        <v>1687.7600000000002</v>
      </c>
      <c r="O11" s="2">
        <v>5000</v>
      </c>
      <c r="P11" s="2">
        <v>4600</v>
      </c>
      <c r="Q11" s="2">
        <v>4600</v>
      </c>
      <c r="R11" s="2">
        <v>4600</v>
      </c>
      <c r="S11" s="92">
        <f t="shared" si="0"/>
        <v>-0.08</v>
      </c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2"/>
    </row>
    <row r="13" spans="1:20" ht="12.75">
      <c r="A13" t="s">
        <v>171</v>
      </c>
      <c r="B13" s="4">
        <v>52.1316</v>
      </c>
      <c r="C13" s="2"/>
      <c r="D13" s="2"/>
      <c r="E13" s="2"/>
      <c r="F13" s="2"/>
      <c r="G13" s="2"/>
      <c r="H13" s="2"/>
      <c r="I13" s="2"/>
      <c r="J13" s="2">
        <v>846</v>
      </c>
      <c r="K13" s="2">
        <v>973</v>
      </c>
      <c r="L13" s="2">
        <v>815</v>
      </c>
      <c r="M13" s="2">
        <v>872.85</v>
      </c>
      <c r="N13" s="2">
        <v>900</v>
      </c>
      <c r="O13" s="2">
        <v>930</v>
      </c>
      <c r="P13" s="2">
        <v>930</v>
      </c>
      <c r="Q13" s="2">
        <v>900</v>
      </c>
      <c r="R13" s="2">
        <v>900</v>
      </c>
      <c r="S13" s="92"/>
      <c r="T13" s="2"/>
    </row>
    <row r="14" spans="1:19" ht="12.75">
      <c r="A14" t="s">
        <v>162</v>
      </c>
      <c r="B14" s="4">
        <v>52.2204</v>
      </c>
      <c r="C14" s="2"/>
      <c r="D14" s="2"/>
      <c r="E14" s="2"/>
      <c r="F14" s="2"/>
      <c r="G14" s="2"/>
      <c r="H14" s="2"/>
      <c r="I14" s="2">
        <v>1540</v>
      </c>
      <c r="J14" s="2"/>
      <c r="K14" s="2"/>
      <c r="L14" s="2"/>
      <c r="M14" s="2"/>
      <c r="N14" s="2"/>
      <c r="O14" s="2"/>
      <c r="P14" s="2"/>
      <c r="Q14" s="2"/>
      <c r="R14" s="2"/>
      <c r="S14" s="92"/>
    </row>
    <row r="15" spans="1:20" ht="12.75">
      <c r="A15" t="s">
        <v>157</v>
      </c>
      <c r="B15" s="4">
        <v>52.12</v>
      </c>
      <c r="C15" s="2"/>
      <c r="D15" s="2"/>
      <c r="E15" s="2"/>
      <c r="F15" s="2">
        <v>215</v>
      </c>
      <c r="G15" s="2"/>
      <c r="H15" s="2"/>
      <c r="I15" s="2"/>
      <c r="J15" s="2">
        <v>3400</v>
      </c>
      <c r="K15" s="2"/>
      <c r="L15" s="2"/>
      <c r="M15" s="2"/>
      <c r="N15" s="2"/>
      <c r="O15" s="2"/>
      <c r="P15" s="2"/>
      <c r="Q15" s="2"/>
      <c r="R15" s="2"/>
      <c r="S15" s="92">
        <v>0.47619047619047616</v>
      </c>
      <c r="T15" t="s">
        <v>514</v>
      </c>
    </row>
    <row r="16" spans="1:19" ht="12.75">
      <c r="A16" t="s">
        <v>970</v>
      </c>
      <c r="B16" s="4">
        <v>52.1208</v>
      </c>
      <c r="C16" s="2"/>
      <c r="D16" s="2"/>
      <c r="E16" s="2"/>
      <c r="F16" s="2"/>
      <c r="G16" s="2"/>
      <c r="H16" s="2"/>
      <c r="I16" s="2"/>
      <c r="J16" s="2"/>
      <c r="K16" s="2"/>
      <c r="L16" s="2">
        <v>2400</v>
      </c>
      <c r="M16" s="2">
        <v>1200</v>
      </c>
      <c r="N16" s="2">
        <v>2400</v>
      </c>
      <c r="O16" s="2">
        <v>2400</v>
      </c>
      <c r="P16" s="2">
        <v>2400</v>
      </c>
      <c r="Q16" s="2">
        <v>2400</v>
      </c>
      <c r="R16" s="2">
        <v>2400</v>
      </c>
      <c r="S16" s="92"/>
    </row>
    <row r="17" spans="1:19" ht="12.75">
      <c r="A17" t="s">
        <v>141</v>
      </c>
      <c r="B17" s="4">
        <v>52.32</v>
      </c>
      <c r="C17" s="2">
        <v>2204</v>
      </c>
      <c r="D17" s="2">
        <v>1993</v>
      </c>
      <c r="E17" s="2">
        <v>2255</v>
      </c>
      <c r="F17" s="2">
        <v>2379</v>
      </c>
      <c r="G17" s="2">
        <v>2255</v>
      </c>
      <c r="H17" s="2">
        <v>2995</v>
      </c>
      <c r="I17" s="2">
        <v>3027</v>
      </c>
      <c r="J17" s="2">
        <v>2750</v>
      </c>
      <c r="K17" s="2">
        <v>3376</v>
      </c>
      <c r="L17" s="2">
        <f>3290-26</f>
        <v>3264</v>
      </c>
      <c r="M17" s="2">
        <v>1561</v>
      </c>
      <c r="N17" s="2">
        <f>+M17/$M$3*12</f>
        <v>3122</v>
      </c>
      <c r="O17" s="2">
        <v>2500</v>
      </c>
      <c r="P17" s="2">
        <v>2500</v>
      </c>
      <c r="Q17" s="2">
        <v>2500</v>
      </c>
      <c r="R17" s="2">
        <v>2500</v>
      </c>
      <c r="S17" s="92">
        <f t="shared" si="0"/>
        <v>0</v>
      </c>
    </row>
    <row r="18" spans="1:19" ht="12.75">
      <c r="A18" t="s">
        <v>142</v>
      </c>
      <c r="B18" s="4">
        <v>52.321</v>
      </c>
      <c r="C18" s="2">
        <v>1926</v>
      </c>
      <c r="D18" s="2">
        <v>2096</v>
      </c>
      <c r="E18" s="2">
        <v>2072</v>
      </c>
      <c r="F18" s="2">
        <v>2598</v>
      </c>
      <c r="G18" s="2">
        <v>2569</v>
      </c>
      <c r="H18" s="2">
        <v>1671</v>
      </c>
      <c r="I18" s="2">
        <v>2571</v>
      </c>
      <c r="J18" s="2">
        <v>3028</v>
      </c>
      <c r="K18" s="2">
        <v>912</v>
      </c>
      <c r="L18" s="2">
        <v>2592</v>
      </c>
      <c r="M18" s="2">
        <v>1020</v>
      </c>
      <c r="N18" s="2">
        <f>+M18/$M$3*12</f>
        <v>2040</v>
      </c>
      <c r="O18" s="2">
        <v>2600</v>
      </c>
      <c r="P18" s="2">
        <v>2600</v>
      </c>
      <c r="Q18" s="2">
        <v>2600</v>
      </c>
      <c r="R18" s="2">
        <v>2600</v>
      </c>
      <c r="S18" s="92">
        <f t="shared" si="0"/>
        <v>0</v>
      </c>
    </row>
    <row r="19" spans="1:21" ht="12.75">
      <c r="A19" t="s">
        <v>154</v>
      </c>
      <c r="B19" s="4">
        <v>52.35</v>
      </c>
      <c r="C19" s="2">
        <v>2246</v>
      </c>
      <c r="D19" s="2">
        <v>2726</v>
      </c>
      <c r="E19" s="2">
        <v>2234</v>
      </c>
      <c r="F19" s="2">
        <v>1932</v>
      </c>
      <c r="G19" s="2">
        <v>2156</v>
      </c>
      <c r="H19" s="2">
        <v>1972</v>
      </c>
      <c r="I19" s="2">
        <v>1931</v>
      </c>
      <c r="J19" s="2">
        <v>1354</v>
      </c>
      <c r="K19" s="2">
        <v>1894</v>
      </c>
      <c r="L19" s="2">
        <v>1454</v>
      </c>
      <c r="M19" s="2">
        <v>184</v>
      </c>
      <c r="N19" s="2">
        <f>+M19/$M$3*12</f>
        <v>368</v>
      </c>
      <c r="O19" s="2">
        <v>1800</v>
      </c>
      <c r="P19" s="2">
        <v>1800</v>
      </c>
      <c r="Q19" s="2"/>
      <c r="R19" s="2">
        <v>1500</v>
      </c>
      <c r="S19" s="92">
        <f t="shared" si="0"/>
        <v>-0.16666666666666666</v>
      </c>
      <c r="T19" s="33" t="s">
        <v>515</v>
      </c>
      <c r="U19" s="6"/>
    </row>
    <row r="20" spans="1:19" ht="12.75">
      <c r="A20" t="s">
        <v>144</v>
      </c>
      <c r="B20" s="4">
        <v>52.3602</v>
      </c>
      <c r="C20" s="2">
        <v>85</v>
      </c>
      <c r="D20" s="2">
        <v>75</v>
      </c>
      <c r="E20" s="2">
        <v>70</v>
      </c>
      <c r="F20" s="2">
        <v>115</v>
      </c>
      <c r="G20" s="2"/>
      <c r="H20" s="2">
        <v>220</v>
      </c>
      <c r="I20" s="2">
        <v>160</v>
      </c>
      <c r="J20" s="2">
        <v>160</v>
      </c>
      <c r="K20" s="2">
        <v>110</v>
      </c>
      <c r="L20" s="2">
        <v>300</v>
      </c>
      <c r="M20" s="2"/>
      <c r="N20" s="2"/>
      <c r="O20" s="2">
        <v>310</v>
      </c>
      <c r="P20" s="2">
        <v>310</v>
      </c>
      <c r="Q20" s="2">
        <v>300</v>
      </c>
      <c r="R20" s="2">
        <v>300</v>
      </c>
      <c r="S20" s="92">
        <f t="shared" si="0"/>
        <v>-0.03225806451612903</v>
      </c>
    </row>
    <row r="21" spans="1:21" ht="12.75">
      <c r="A21" t="s">
        <v>155</v>
      </c>
      <c r="B21" s="4">
        <v>52.37</v>
      </c>
      <c r="C21" s="2"/>
      <c r="D21" s="2"/>
      <c r="E21" s="2">
        <v>500</v>
      </c>
      <c r="F21" s="2">
        <v>465</v>
      </c>
      <c r="G21" s="2">
        <v>537</v>
      </c>
      <c r="H21" s="2">
        <v>645</v>
      </c>
      <c r="I21" s="2"/>
      <c r="J21" s="2"/>
      <c r="K21" s="2">
        <v>525</v>
      </c>
      <c r="L21" s="2">
        <v>795</v>
      </c>
      <c r="M21" s="2">
        <v>795</v>
      </c>
      <c r="N21" s="2">
        <v>795</v>
      </c>
      <c r="O21" s="2">
        <v>805</v>
      </c>
      <c r="P21" s="2">
        <v>805</v>
      </c>
      <c r="Q21" s="2"/>
      <c r="R21" s="2">
        <v>805</v>
      </c>
      <c r="S21" s="92">
        <f t="shared" si="0"/>
        <v>0</v>
      </c>
      <c r="T21" s="33" t="s">
        <v>515</v>
      </c>
      <c r="U21" s="6"/>
    </row>
    <row r="22" spans="2:19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2"/>
    </row>
    <row r="23" spans="1:20" ht="12.75">
      <c r="A23" t="s">
        <v>149</v>
      </c>
      <c r="B23" s="4">
        <v>53.171</v>
      </c>
      <c r="C23" s="2">
        <v>3762</v>
      </c>
      <c r="D23" s="2">
        <v>5773</v>
      </c>
      <c r="E23" s="2">
        <v>3279</v>
      </c>
      <c r="F23" s="2">
        <v>3332</v>
      </c>
      <c r="G23" s="2">
        <v>3316</v>
      </c>
      <c r="H23" s="2">
        <v>2551</v>
      </c>
      <c r="I23" s="2">
        <v>2977</v>
      </c>
      <c r="J23" s="2">
        <v>3023</v>
      </c>
      <c r="K23" s="2">
        <v>2718</v>
      </c>
      <c r="L23" s="2">
        <v>2267</v>
      </c>
      <c r="M23" s="2">
        <v>744</v>
      </c>
      <c r="N23" s="2">
        <f>+M23/$M$3*12</f>
        <v>1488</v>
      </c>
      <c r="O23" s="2">
        <v>3000</v>
      </c>
      <c r="P23" s="2">
        <v>3000</v>
      </c>
      <c r="Q23" s="2">
        <v>2700</v>
      </c>
      <c r="R23" s="2">
        <v>2700</v>
      </c>
      <c r="S23" s="92">
        <f t="shared" si="0"/>
        <v>-0.1</v>
      </c>
      <c r="T23" s="2"/>
    </row>
    <row r="24" spans="1:20" ht="12.75">
      <c r="A24" t="s">
        <v>971</v>
      </c>
      <c r="B24" s="4">
        <v>53.1737</v>
      </c>
      <c r="C24" s="2"/>
      <c r="D24" s="2"/>
      <c r="E24" s="2"/>
      <c r="F24" s="2"/>
      <c r="G24" s="2"/>
      <c r="H24" s="2"/>
      <c r="I24" s="2"/>
      <c r="J24" s="2"/>
      <c r="K24" s="2"/>
      <c r="L24" s="2">
        <v>167</v>
      </c>
      <c r="M24" s="2"/>
      <c r="N24" s="2"/>
      <c r="O24" s="2"/>
      <c r="P24" s="2"/>
      <c r="Q24" s="2"/>
      <c r="R24" s="2"/>
      <c r="S24" s="92"/>
      <c r="T24" s="2"/>
    </row>
    <row r="25" spans="1:19" ht="12.75">
      <c r="A25" t="s">
        <v>360</v>
      </c>
      <c r="B25" s="4">
        <v>53.179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2"/>
    </row>
    <row r="26" spans="1:19" ht="12.75">
      <c r="A26" t="s">
        <v>639</v>
      </c>
      <c r="C26" s="2"/>
      <c r="D26" s="2"/>
      <c r="E26" s="2"/>
      <c r="F26" s="2"/>
      <c r="G26" s="2"/>
      <c r="H26" s="2">
        <v>80</v>
      </c>
      <c r="I26" s="2">
        <v>3800</v>
      </c>
      <c r="J26" s="2"/>
      <c r="K26" s="2"/>
      <c r="L26" s="2"/>
      <c r="M26" s="2"/>
      <c r="O26" s="2"/>
      <c r="P26" s="2"/>
      <c r="Q26" s="2"/>
      <c r="R26" s="2"/>
      <c r="S26" s="92"/>
    </row>
    <row r="27" spans="1:19" ht="12.75">
      <c r="A27" t="s">
        <v>666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92"/>
    </row>
    <row r="28" spans="1:20" ht="12.75">
      <c r="A28" t="s">
        <v>230</v>
      </c>
      <c r="B28" s="4">
        <v>54.24</v>
      </c>
      <c r="C28" s="5"/>
      <c r="D28" s="5"/>
      <c r="E28" s="2">
        <v>1528</v>
      </c>
      <c r="F28" s="2">
        <v>1654</v>
      </c>
      <c r="G28" s="2">
        <v>245</v>
      </c>
      <c r="H28" s="2"/>
      <c r="I28" s="2">
        <v>1324</v>
      </c>
      <c r="J28" s="2">
        <v>1156</v>
      </c>
      <c r="K28" s="2">
        <v>977</v>
      </c>
      <c r="L28" s="2">
        <v>1230</v>
      </c>
      <c r="M28" s="2"/>
      <c r="N28" s="2"/>
      <c r="O28" s="2"/>
      <c r="P28" s="2"/>
      <c r="Q28" s="2"/>
      <c r="R28" s="2"/>
      <c r="S28" s="92"/>
      <c r="T28" s="33"/>
    </row>
    <row r="29" spans="2:19" ht="12.7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2"/>
    </row>
    <row r="30" spans="1:19" ht="12.75">
      <c r="A30" s="6" t="s">
        <v>116</v>
      </c>
      <c r="B30" s="6"/>
      <c r="C30" s="7">
        <f>SUM(C7:C26)</f>
        <v>99662</v>
      </c>
      <c r="D30" s="8">
        <f>SUM(D7:D26)</f>
        <v>109429</v>
      </c>
      <c r="E30" s="8">
        <f>SUM(E7:E29)</f>
        <v>115436</v>
      </c>
      <c r="F30" s="8">
        <f>SUM(F7:F29)</f>
        <v>126753</v>
      </c>
      <c r="G30" s="8">
        <f>SUM(G7:G29)</f>
        <v>130572</v>
      </c>
      <c r="H30" s="8">
        <f>SUM(H7:H29)</f>
        <v>136691</v>
      </c>
      <c r="I30" s="8">
        <f>SUM(I7:I29)</f>
        <v>146403</v>
      </c>
      <c r="J30" s="8">
        <v>153640</v>
      </c>
      <c r="K30" s="8">
        <f aca="true" t="shared" si="1" ref="K30:R30">SUM(K7:K29)</f>
        <v>171119</v>
      </c>
      <c r="L30" s="8">
        <v>185075</v>
      </c>
      <c r="M30" s="8">
        <f t="shared" si="1"/>
        <v>91870.03000000001</v>
      </c>
      <c r="N30" s="8">
        <f t="shared" si="1"/>
        <v>182099.36000000002</v>
      </c>
      <c r="O30" s="8">
        <f t="shared" si="1"/>
        <v>197791.74773499998</v>
      </c>
      <c r="P30" s="8">
        <f t="shared" si="1"/>
        <v>204098</v>
      </c>
      <c r="Q30" s="8">
        <f t="shared" si="1"/>
        <v>201153.11354</v>
      </c>
      <c r="R30" s="8">
        <f t="shared" si="1"/>
        <v>203458.11354</v>
      </c>
      <c r="S30" s="53">
        <f>(R30-O30)/O30</f>
        <v>0.028648140632195465</v>
      </c>
    </row>
    <row r="32" spans="15:17" ht="12.75">
      <c r="O32" s="22" t="s">
        <v>488</v>
      </c>
      <c r="P32" s="22"/>
      <c r="Q32" s="56">
        <f>P30-Q30</f>
        <v>2944.886460000009</v>
      </c>
    </row>
    <row r="33" spans="15:17" ht="12.75">
      <c r="O33" s="22" t="s">
        <v>761</v>
      </c>
      <c r="P33" s="22"/>
      <c r="Q33" s="56">
        <f>O30-Q30</f>
        <v>-3361.3658050000085</v>
      </c>
    </row>
    <row r="34" spans="15:17" ht="12.75">
      <c r="O34" s="22" t="s">
        <v>436</v>
      </c>
      <c r="P34" s="22"/>
      <c r="Q34" s="56">
        <f>Q30-R30</f>
        <v>-2305</v>
      </c>
    </row>
    <row r="35" ht="12.75">
      <c r="A35" t="s">
        <v>979</v>
      </c>
    </row>
    <row r="36" ht="12.75">
      <c r="A36" t="s">
        <v>789</v>
      </c>
    </row>
    <row r="37" ht="12.75">
      <c r="A37" t="s">
        <v>1033</v>
      </c>
    </row>
    <row r="38" ht="12.75">
      <c r="A38" t="s">
        <v>31</v>
      </c>
    </row>
    <row r="40" spans="1:12" ht="12.75">
      <c r="A40" t="s">
        <v>950</v>
      </c>
      <c r="I40" s="43">
        <v>68415</v>
      </c>
      <c r="J40" s="43">
        <v>62360</v>
      </c>
      <c r="K40" s="43">
        <v>84113</v>
      </c>
      <c r="L40" s="43">
        <v>71981</v>
      </c>
    </row>
    <row r="41" spans="16:17" ht="12.75">
      <c r="P41" s="4"/>
      <c r="Q41" s="167"/>
    </row>
    <row r="43" ht="12.75">
      <c r="O43" s="5"/>
    </row>
    <row r="45" ht="12.75">
      <c r="O45" s="5"/>
    </row>
    <row r="56" spans="12:14" ht="12.75">
      <c r="L56" s="2"/>
      <c r="M56" s="2"/>
      <c r="N56" s="2"/>
    </row>
    <row r="57" spans="12:14" ht="12.75">
      <c r="L57" s="2"/>
      <c r="M57" s="2"/>
      <c r="N57" s="2"/>
    </row>
    <row r="58" spans="12:14" ht="12.75">
      <c r="L58" s="2"/>
      <c r="M58" s="2"/>
      <c r="N58" s="2"/>
    </row>
    <row r="59" spans="12:14" ht="12.75">
      <c r="L59" s="2"/>
      <c r="M59" s="2"/>
      <c r="N59" s="2"/>
    </row>
    <row r="60" spans="12:14" ht="12.75">
      <c r="L60" s="2"/>
      <c r="M60" s="2"/>
      <c r="N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O63" s="2"/>
      <c r="P63" s="2"/>
      <c r="Q63" s="2"/>
      <c r="R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O66" s="2"/>
      <c r="P66" s="2"/>
      <c r="Q66" s="2"/>
      <c r="R66" s="2"/>
      <c r="S66" s="2"/>
    </row>
    <row r="67" ht="12.75">
      <c r="S67" s="2"/>
    </row>
    <row r="68" ht="12.75">
      <c r="S68" s="2"/>
    </row>
    <row r="69" ht="12.75">
      <c r="S69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W68"/>
  <sheetViews>
    <sheetView zoomScale="75" zoomScaleNormal="75" workbookViewId="0" topLeftCell="A1">
      <selection activeCell="W36" sqref="W3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57421875" style="0" hidden="1" customWidth="1"/>
    <col min="5" max="9" width="8.7109375" style="0" hidden="1" customWidth="1"/>
    <col min="10" max="12" width="8.7109375" style="0" customWidth="1"/>
    <col min="14" max="14" width="9.7109375" style="0" bestFit="1" customWidth="1"/>
    <col min="15" max="15" width="9.8515625" style="0" customWidth="1"/>
    <col min="16" max="16" width="11.7109375" style="0" customWidth="1"/>
    <col min="17" max="17" width="10.7109375" style="0" bestFit="1" customWidth="1"/>
    <col min="18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456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 t="s">
        <v>108</v>
      </c>
      <c r="E4" s="1" t="s">
        <v>108</v>
      </c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446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3" ht="12.75">
      <c r="A7" s="22" t="s">
        <v>686</v>
      </c>
      <c r="B7" s="4">
        <v>51.11</v>
      </c>
      <c r="C7" s="2">
        <v>87278</v>
      </c>
      <c r="D7" s="2">
        <v>91484</v>
      </c>
      <c r="E7" s="2">
        <v>97979</v>
      </c>
      <c r="F7" s="2">
        <v>117738</v>
      </c>
      <c r="G7" s="2">
        <v>117991</v>
      </c>
      <c r="H7" s="2">
        <v>128060</v>
      </c>
      <c r="I7" s="2">
        <v>135881</v>
      </c>
      <c r="J7" s="2">
        <v>151592</v>
      </c>
      <c r="K7" s="2">
        <v>167618</v>
      </c>
      <c r="L7" s="2">
        <v>179990.73</v>
      </c>
      <c r="M7" s="2">
        <v>92924.94</v>
      </c>
      <c r="N7" s="2">
        <f>+M7/$M$3*12</f>
        <v>185849.88</v>
      </c>
      <c r="O7" s="2">
        <v>195925.68</v>
      </c>
      <c r="P7" s="2">
        <v>203310</v>
      </c>
      <c r="Q7" s="2">
        <v>203309.88</v>
      </c>
      <c r="R7" s="2">
        <v>203309.88</v>
      </c>
      <c r="S7" s="92">
        <f>(R7-O7)/O7</f>
        <v>0.03768878076625796</v>
      </c>
      <c r="T7" t="s">
        <v>376</v>
      </c>
      <c r="W7" s="174"/>
    </row>
    <row r="8" spans="1:19" ht="12.75">
      <c r="A8" t="s">
        <v>675</v>
      </c>
      <c r="B8" s="4">
        <v>51.1105</v>
      </c>
      <c r="C8" s="2"/>
      <c r="D8" s="2"/>
      <c r="E8" s="2"/>
      <c r="F8" s="2"/>
      <c r="G8" s="2"/>
      <c r="H8" s="2"/>
      <c r="I8" s="2"/>
      <c r="J8" s="2">
        <v>766</v>
      </c>
      <c r="K8" s="2"/>
      <c r="L8" s="2"/>
      <c r="M8" s="2"/>
      <c r="N8" s="2">
        <f>+M8/$M$3*12</f>
        <v>0</v>
      </c>
      <c r="O8" s="2"/>
      <c r="P8" s="2"/>
      <c r="Q8" s="2"/>
      <c r="R8" s="2"/>
      <c r="S8" s="92" t="e">
        <f>(R8-O8)/O8</f>
        <v>#DIV/0!</v>
      </c>
    </row>
    <row r="9" spans="1:20" ht="12.75">
      <c r="A9" t="s">
        <v>494</v>
      </c>
      <c r="B9" s="4">
        <v>51.21</v>
      </c>
      <c r="C9" s="2">
        <v>6713</v>
      </c>
      <c r="D9" s="2">
        <v>7739</v>
      </c>
      <c r="E9" s="2">
        <v>9537</v>
      </c>
      <c r="F9" s="2">
        <v>8488</v>
      </c>
      <c r="G9" s="2">
        <v>8919</v>
      </c>
      <c r="H9" s="2">
        <v>9447</v>
      </c>
      <c r="I9" s="2">
        <v>8983</v>
      </c>
      <c r="J9" s="2">
        <v>11605</v>
      </c>
      <c r="K9" s="2">
        <v>16019</v>
      </c>
      <c r="L9" s="2">
        <v>17111</v>
      </c>
      <c r="M9" s="2">
        <v>9019.08</v>
      </c>
      <c r="N9" s="2">
        <f>+M9/$M$3*12</f>
        <v>18038.16</v>
      </c>
      <c r="O9" s="31">
        <v>19200</v>
      </c>
      <c r="P9" s="31">
        <v>19680</v>
      </c>
      <c r="Q9" s="31">
        <f>4*4920</f>
        <v>19680</v>
      </c>
      <c r="R9" s="31">
        <v>19680</v>
      </c>
      <c r="S9" s="92">
        <f>(R9-O9)/O9</f>
        <v>0.025</v>
      </c>
      <c r="T9" t="s">
        <v>825</v>
      </c>
    </row>
    <row r="10" spans="1:19" ht="12.75">
      <c r="A10" t="s">
        <v>139</v>
      </c>
      <c r="B10" s="4">
        <v>51.22</v>
      </c>
      <c r="C10" s="2">
        <v>6429</v>
      </c>
      <c r="D10" s="2">
        <v>6722</v>
      </c>
      <c r="E10" s="2">
        <v>7350</v>
      </c>
      <c r="F10" s="2">
        <v>8895</v>
      </c>
      <c r="G10" s="2">
        <v>8772</v>
      </c>
      <c r="H10" s="2">
        <v>9483</v>
      </c>
      <c r="I10" s="2">
        <v>9980</v>
      </c>
      <c r="J10" s="2">
        <v>11236</v>
      </c>
      <c r="K10" s="2">
        <v>12367</v>
      </c>
      <c r="L10" s="2">
        <v>13519.27</v>
      </c>
      <c r="M10" s="2">
        <v>7040.77</v>
      </c>
      <c r="N10" s="2">
        <f>+M10/$M$3*12</f>
        <v>14081.54</v>
      </c>
      <c r="O10" s="2">
        <v>14988.31452</v>
      </c>
      <c r="P10" s="2">
        <f>P7*0.0765</f>
        <v>15553.215</v>
      </c>
      <c r="Q10" s="2">
        <f>Q7*0.0765</f>
        <v>15553.20582</v>
      </c>
      <c r="R10" s="2">
        <v>15553.20582</v>
      </c>
      <c r="S10" s="92">
        <f>(R10-O10)/O10</f>
        <v>0.037688780766257854</v>
      </c>
    </row>
    <row r="11" spans="1:19" ht="12.75">
      <c r="A11" t="s">
        <v>153</v>
      </c>
      <c r="B11" s="4">
        <v>51.24</v>
      </c>
      <c r="C11" s="2">
        <v>2124</v>
      </c>
      <c r="D11" s="2">
        <v>2202</v>
      </c>
      <c r="E11" s="2">
        <v>2351</v>
      </c>
      <c r="F11" s="2">
        <v>2600</v>
      </c>
      <c r="G11" s="2">
        <v>2683</v>
      </c>
      <c r="H11" s="2">
        <v>2728</v>
      </c>
      <c r="I11" s="2">
        <v>3166</v>
      </c>
      <c r="J11" s="2">
        <v>3476</v>
      </c>
      <c r="K11" s="2">
        <v>3983</v>
      </c>
      <c r="L11" s="2">
        <v>3983</v>
      </c>
      <c r="M11" s="2">
        <v>1537.82</v>
      </c>
      <c r="N11" s="2">
        <f>+M11/$M$3*12</f>
        <v>3075.6400000000003</v>
      </c>
      <c r="O11" s="2">
        <v>5300</v>
      </c>
      <c r="P11" s="2">
        <v>5300</v>
      </c>
      <c r="Q11" s="2">
        <v>5300</v>
      </c>
      <c r="R11" s="2">
        <v>5300</v>
      </c>
      <c r="S11" s="92">
        <f>(R11-O11)/O11</f>
        <v>0</v>
      </c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3"/>
      <c r="P12" s="2"/>
      <c r="Q12" s="13"/>
      <c r="R12" s="13"/>
      <c r="S12" s="92"/>
    </row>
    <row r="13" spans="1:21" ht="12.75">
      <c r="A13" t="s">
        <v>206</v>
      </c>
      <c r="B13" s="4">
        <v>52.121</v>
      </c>
      <c r="C13" s="2"/>
      <c r="D13" s="2"/>
      <c r="E13" s="2"/>
      <c r="F13" s="2"/>
      <c r="G13" s="2"/>
      <c r="H13" s="2"/>
      <c r="I13" s="2"/>
      <c r="J13" s="2">
        <v>81</v>
      </c>
      <c r="K13" s="2"/>
      <c r="L13" s="2">
        <v>283</v>
      </c>
      <c r="M13" s="2"/>
      <c r="N13" s="2">
        <f>+M13/$M$3*12</f>
        <v>0</v>
      </c>
      <c r="O13" s="13"/>
      <c r="P13" s="2"/>
      <c r="Q13" s="13"/>
      <c r="R13" s="13"/>
      <c r="S13" s="92" t="e">
        <f aca="true" t="shared" si="0" ref="S13:S21">(R13-O13)/O13</f>
        <v>#DIV/0!</v>
      </c>
      <c r="U13" s="2"/>
    </row>
    <row r="14" spans="1:19" ht="12.75" hidden="1">
      <c r="A14" t="s">
        <v>696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2"/>
      <c r="Q14" s="20"/>
      <c r="R14" s="20"/>
      <c r="S14" s="92" t="e">
        <f t="shared" si="0"/>
        <v>#DIV/0!</v>
      </c>
    </row>
    <row r="15" spans="1:19" ht="12.75">
      <c r="A15" t="s">
        <v>843</v>
      </c>
      <c r="B15" s="4">
        <v>52.1316</v>
      </c>
      <c r="C15" s="2">
        <v>930</v>
      </c>
      <c r="D15" s="2">
        <v>553</v>
      </c>
      <c r="E15" s="2">
        <v>595</v>
      </c>
      <c r="F15" s="2">
        <v>650</v>
      </c>
      <c r="G15" s="2">
        <v>837</v>
      </c>
      <c r="H15" s="2">
        <v>686</v>
      </c>
      <c r="I15" s="2">
        <v>853</v>
      </c>
      <c r="J15" s="2">
        <v>219</v>
      </c>
      <c r="K15" s="2">
        <v>250</v>
      </c>
      <c r="L15" s="2"/>
      <c r="M15" s="2">
        <v>193.66</v>
      </c>
      <c r="N15" s="2">
        <v>506</v>
      </c>
      <c r="O15" s="2">
        <v>250</v>
      </c>
      <c r="P15" s="2">
        <v>540</v>
      </c>
      <c r="Q15" s="2">
        <v>500</v>
      </c>
      <c r="R15" s="2">
        <v>540</v>
      </c>
      <c r="S15" s="92">
        <f t="shared" si="0"/>
        <v>1.16</v>
      </c>
    </row>
    <row r="16" spans="1:19" ht="12.75">
      <c r="A16" t="s">
        <v>141</v>
      </c>
      <c r="B16" s="4">
        <v>52.32</v>
      </c>
      <c r="C16" s="2">
        <v>1850</v>
      </c>
      <c r="D16" s="2">
        <v>2105</v>
      </c>
      <c r="E16" s="2">
        <v>2063</v>
      </c>
      <c r="F16" s="2">
        <v>2428</v>
      </c>
      <c r="G16" s="2">
        <v>1844</v>
      </c>
      <c r="H16" s="2">
        <v>1910</v>
      </c>
      <c r="I16" s="2">
        <v>1740</v>
      </c>
      <c r="J16" s="2">
        <v>2090</v>
      </c>
      <c r="K16" s="2">
        <v>1658</v>
      </c>
      <c r="L16" s="2">
        <v>1785</v>
      </c>
      <c r="M16" s="2">
        <v>967.81</v>
      </c>
      <c r="N16" s="2">
        <f>+M16/$M$3*12</f>
        <v>1935.62</v>
      </c>
      <c r="O16" s="20">
        <v>1700</v>
      </c>
      <c r="P16" s="2">
        <v>2100</v>
      </c>
      <c r="Q16" s="20">
        <v>1950</v>
      </c>
      <c r="R16" s="20">
        <v>2100</v>
      </c>
      <c r="S16" s="92">
        <f t="shared" si="0"/>
        <v>0.23529411764705882</v>
      </c>
    </row>
    <row r="17" spans="1:19" ht="12.75">
      <c r="A17" t="s">
        <v>142</v>
      </c>
      <c r="B17" s="4">
        <v>52.321</v>
      </c>
      <c r="C17" s="2">
        <v>943</v>
      </c>
      <c r="D17" s="2">
        <v>691</v>
      </c>
      <c r="E17" s="2">
        <v>699</v>
      </c>
      <c r="F17" s="2">
        <v>728</v>
      </c>
      <c r="G17" s="2">
        <v>1173</v>
      </c>
      <c r="H17" s="2">
        <v>655</v>
      </c>
      <c r="I17" s="2">
        <v>718</v>
      </c>
      <c r="J17" s="2">
        <v>584</v>
      </c>
      <c r="K17" s="2">
        <v>757</v>
      </c>
      <c r="L17" s="2">
        <v>973</v>
      </c>
      <c r="M17" s="2">
        <v>457.13</v>
      </c>
      <c r="N17" s="2">
        <f>+M17/$M$3*12</f>
        <v>914.26</v>
      </c>
      <c r="O17" s="2">
        <v>1000</v>
      </c>
      <c r="P17" s="2">
        <v>1394</v>
      </c>
      <c r="Q17" s="2">
        <v>1000</v>
      </c>
      <c r="R17" s="2">
        <v>1394</v>
      </c>
      <c r="S17" s="92">
        <f t="shared" si="0"/>
        <v>0.394</v>
      </c>
    </row>
    <row r="18" spans="1:19" ht="12.75" hidden="1">
      <c r="A18" t="s">
        <v>163</v>
      </c>
      <c r="B18" s="4">
        <v>52.33</v>
      </c>
      <c r="C18" s="2"/>
      <c r="D18" s="2"/>
      <c r="E18" s="2"/>
      <c r="F18" s="2"/>
      <c r="G18" s="2">
        <v>20</v>
      </c>
      <c r="H18" s="2"/>
      <c r="I18" s="2"/>
      <c r="J18" s="2"/>
      <c r="K18" s="2"/>
      <c r="L18" s="2"/>
      <c r="M18">
        <v>122.75</v>
      </c>
      <c r="N18" s="2"/>
      <c r="O18" s="2"/>
      <c r="P18" s="2"/>
      <c r="Q18" s="2"/>
      <c r="R18" s="2"/>
      <c r="S18" s="92" t="e">
        <f t="shared" si="0"/>
        <v>#DIV/0!</v>
      </c>
    </row>
    <row r="19" spans="1:19" ht="12.75">
      <c r="A19" t="s">
        <v>388</v>
      </c>
      <c r="B19" s="4">
        <v>52.34</v>
      </c>
      <c r="C19" s="2"/>
      <c r="D19" s="2"/>
      <c r="E19" s="2"/>
      <c r="F19" s="2">
        <v>156</v>
      </c>
      <c r="G19" s="2"/>
      <c r="H19" s="2">
        <v>1010</v>
      </c>
      <c r="I19" s="2">
        <v>269</v>
      </c>
      <c r="J19" s="2">
        <v>306</v>
      </c>
      <c r="K19" s="2">
        <v>473</v>
      </c>
      <c r="L19" s="2">
        <v>516</v>
      </c>
      <c r="M19" s="2">
        <v>837.85</v>
      </c>
      <c r="N19" s="2">
        <f>+M19/$M$3*12</f>
        <v>1675.7000000000003</v>
      </c>
      <c r="O19" s="2">
        <v>500</v>
      </c>
      <c r="P19" s="2">
        <v>1000</v>
      </c>
      <c r="Q19" s="2">
        <v>1000</v>
      </c>
      <c r="R19" s="2">
        <v>1000</v>
      </c>
      <c r="S19" s="92">
        <f t="shared" si="0"/>
        <v>1</v>
      </c>
    </row>
    <row r="20" spans="1:21" ht="12.75">
      <c r="A20" t="s">
        <v>154</v>
      </c>
      <c r="B20" s="4">
        <v>52.35</v>
      </c>
      <c r="C20" s="2">
        <v>1147</v>
      </c>
      <c r="D20" s="2">
        <v>1230</v>
      </c>
      <c r="E20" s="2">
        <v>1380</v>
      </c>
      <c r="F20" s="2">
        <v>1340</v>
      </c>
      <c r="G20" s="2">
        <v>1256</v>
      </c>
      <c r="H20" s="2">
        <v>695</v>
      </c>
      <c r="I20" s="2">
        <f>1317+43</f>
        <v>1360</v>
      </c>
      <c r="J20" s="2">
        <v>1061</v>
      </c>
      <c r="K20" s="2">
        <v>1602</v>
      </c>
      <c r="L20" s="2">
        <v>672</v>
      </c>
      <c r="M20" s="2">
        <v>200</v>
      </c>
      <c r="N20" s="2">
        <v>1300</v>
      </c>
      <c r="O20" s="2">
        <v>1300</v>
      </c>
      <c r="P20" s="2">
        <v>2100</v>
      </c>
      <c r="Q20" s="2"/>
      <c r="R20" s="20">
        <v>1300</v>
      </c>
      <c r="S20" s="92">
        <f t="shared" si="0"/>
        <v>0</v>
      </c>
      <c r="T20" t="s">
        <v>515</v>
      </c>
      <c r="U20" s="6"/>
    </row>
    <row r="21" spans="1:19" ht="12.75">
      <c r="A21" t="s">
        <v>144</v>
      </c>
      <c r="B21" s="4">
        <v>52.3602</v>
      </c>
      <c r="C21" s="2">
        <v>585</v>
      </c>
      <c r="D21" s="2">
        <v>615</v>
      </c>
      <c r="E21" s="2">
        <v>200</v>
      </c>
      <c r="F21" s="2">
        <v>200</v>
      </c>
      <c r="G21" s="2">
        <v>475</v>
      </c>
      <c r="H21" s="2">
        <v>400</v>
      </c>
      <c r="I21" s="2">
        <v>250</v>
      </c>
      <c r="J21" s="2">
        <v>250</v>
      </c>
      <c r="K21" s="2">
        <v>500</v>
      </c>
      <c r="L21" s="2">
        <v>250</v>
      </c>
      <c r="M21" s="2">
        <v>200</v>
      </c>
      <c r="N21" s="2">
        <f>+M21/$M$3*12</f>
        <v>400</v>
      </c>
      <c r="O21" s="2">
        <v>300</v>
      </c>
      <c r="P21" s="2">
        <v>500</v>
      </c>
      <c r="Q21" s="2">
        <v>250</v>
      </c>
      <c r="R21" s="2">
        <v>500</v>
      </c>
      <c r="S21" s="92">
        <f t="shared" si="0"/>
        <v>0.6666666666666666</v>
      </c>
    </row>
    <row r="22" spans="1:19" ht="12.75" hidden="1">
      <c r="A22" t="s">
        <v>697</v>
      </c>
      <c r="B22" s="4">
        <v>52.363</v>
      </c>
      <c r="C22" s="2"/>
      <c r="D22" s="2"/>
      <c r="E22" s="2">
        <v>194</v>
      </c>
      <c r="F22" s="2"/>
      <c r="G22" s="2"/>
      <c r="H22" s="2"/>
      <c r="I22" s="2"/>
      <c r="J22" s="2"/>
      <c r="K22" s="2"/>
      <c r="L22" s="2"/>
      <c r="N22" s="2"/>
      <c r="O22" s="2"/>
      <c r="P22" s="2"/>
      <c r="Q22" s="2"/>
      <c r="R22" s="2"/>
      <c r="S22" s="92"/>
    </row>
    <row r="23" spans="1:21" ht="12.75">
      <c r="A23" t="s">
        <v>155</v>
      </c>
      <c r="B23" s="4">
        <v>52.37</v>
      </c>
      <c r="C23" s="2"/>
      <c r="D23" s="2"/>
      <c r="E23" s="2">
        <v>50</v>
      </c>
      <c r="F23" s="2">
        <v>225</v>
      </c>
      <c r="G23" s="2">
        <v>495</v>
      </c>
      <c r="H23" s="2">
        <v>280</v>
      </c>
      <c r="I23" s="2"/>
      <c r="J23" s="2"/>
      <c r="K23" s="2">
        <v>885</v>
      </c>
      <c r="L23" s="2">
        <v>425</v>
      </c>
      <c r="M23" s="2"/>
      <c r="N23" s="2">
        <v>500</v>
      </c>
      <c r="O23" s="2">
        <v>500</v>
      </c>
      <c r="P23" s="2">
        <v>950</v>
      </c>
      <c r="Q23" s="2"/>
      <c r="R23" s="20">
        <v>550</v>
      </c>
      <c r="S23" s="92"/>
      <c r="T23" t="s">
        <v>515</v>
      </c>
      <c r="U23" s="6"/>
    </row>
    <row r="24" spans="1:19" ht="12.75">
      <c r="A24" t="s">
        <v>38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304</v>
      </c>
      <c r="N24" s="2">
        <v>304</v>
      </c>
      <c r="O24" s="2">
        <v>304</v>
      </c>
      <c r="P24" s="2"/>
      <c r="Q24" s="2"/>
      <c r="R24" s="2"/>
      <c r="S24" s="92"/>
    </row>
    <row r="25" spans="2:19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2"/>
    </row>
    <row r="26" spans="1:20" ht="12.75">
      <c r="A26" t="s">
        <v>149</v>
      </c>
      <c r="B26" s="4">
        <v>53.171</v>
      </c>
      <c r="C26" s="2">
        <v>2174</v>
      </c>
      <c r="D26" s="2">
        <v>1318</v>
      </c>
      <c r="E26" s="2">
        <v>1660</v>
      </c>
      <c r="F26" s="2">
        <v>1064</v>
      </c>
      <c r="G26" s="2">
        <v>1744</v>
      </c>
      <c r="H26" s="2">
        <v>1424</v>
      </c>
      <c r="I26" s="2">
        <v>1981</v>
      </c>
      <c r="J26" s="2">
        <v>1873</v>
      </c>
      <c r="K26" s="2">
        <f>2511+148</f>
        <v>2659</v>
      </c>
      <c r="L26" s="2">
        <f>1936+10</f>
        <v>1946</v>
      </c>
      <c r="M26" s="2">
        <v>409.97</v>
      </c>
      <c r="N26" s="2">
        <v>1900</v>
      </c>
      <c r="O26" s="2">
        <v>1900</v>
      </c>
      <c r="P26" s="2">
        <v>3000</v>
      </c>
      <c r="Q26" s="2">
        <v>1900</v>
      </c>
      <c r="R26" s="2">
        <v>3000</v>
      </c>
      <c r="S26" s="92">
        <f>(R26-O26)/O26</f>
        <v>0.5789473684210527</v>
      </c>
      <c r="T26" s="10"/>
    </row>
    <row r="27" spans="1:20" ht="12.75">
      <c r="A27" t="s">
        <v>384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1779</v>
      </c>
      <c r="Q27" s="2"/>
      <c r="R27" s="2"/>
      <c r="S27" s="92"/>
      <c r="T27" s="10"/>
    </row>
    <row r="28" spans="1:20" ht="12.75">
      <c r="A28" t="s">
        <v>639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2"/>
      <c r="T28" s="10"/>
    </row>
    <row r="29" spans="1:19" ht="12.75" hidden="1">
      <c r="A29" t="s">
        <v>164</v>
      </c>
      <c r="B29" s="4">
        <v>54.25</v>
      </c>
      <c r="C29" s="2"/>
      <c r="D29" s="2"/>
      <c r="E29" s="2">
        <v>222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2"/>
    </row>
    <row r="30" spans="1:19" ht="12.75" hidden="1">
      <c r="A30" t="s">
        <v>384</v>
      </c>
      <c r="B30" s="4">
        <v>54.25</v>
      </c>
      <c r="C30" s="2"/>
      <c r="D30" s="2"/>
      <c r="E30" s="2"/>
      <c r="F30" s="2">
        <v>697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2"/>
    </row>
    <row r="31" spans="1:19" ht="12.75">
      <c r="A31" t="s">
        <v>562</v>
      </c>
      <c r="B31" s="4">
        <v>54.24</v>
      </c>
      <c r="C31" s="2"/>
      <c r="D31" s="2">
        <v>485</v>
      </c>
      <c r="E31" s="2"/>
      <c r="F31" s="2"/>
      <c r="G31" s="2">
        <v>723</v>
      </c>
      <c r="H31" s="2">
        <v>517</v>
      </c>
      <c r="I31" s="2">
        <v>549</v>
      </c>
      <c r="J31" s="2">
        <v>6495</v>
      </c>
      <c r="K31" s="2"/>
      <c r="L31" s="2">
        <v>292</v>
      </c>
      <c r="M31" s="2"/>
      <c r="N31" s="2"/>
      <c r="O31" s="2"/>
      <c r="P31" s="2"/>
      <c r="Q31" s="2"/>
      <c r="R31" s="2"/>
      <c r="S31" s="92"/>
    </row>
    <row r="32" spans="1:19" ht="12.75" hidden="1">
      <c r="A32" t="s">
        <v>326</v>
      </c>
      <c r="B32" s="4" t="s">
        <v>117</v>
      </c>
      <c r="C32" s="2">
        <v>368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92"/>
    </row>
    <row r="33" spans="2:19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2"/>
    </row>
    <row r="34" spans="1:19" ht="12.75">
      <c r="A34" s="6" t="s">
        <v>116</v>
      </c>
      <c r="B34" s="6"/>
      <c r="C34" s="7">
        <f>SUM(C7:C32)</f>
        <v>110541</v>
      </c>
      <c r="D34" s="8">
        <f>SUM(D7:D32)</f>
        <v>115144</v>
      </c>
      <c r="E34" s="8">
        <f>SUM(E7:E33)</f>
        <v>124280</v>
      </c>
      <c r="F34" s="8">
        <f>SUM(F7:F33)</f>
        <v>145209</v>
      </c>
      <c r="G34" s="8">
        <f>SUM(G7:G33)</f>
        <v>146932</v>
      </c>
      <c r="H34" s="8">
        <f>SUM(H7:H33)</f>
        <v>157295</v>
      </c>
      <c r="I34" s="8">
        <f>SUM(I7:I33)</f>
        <v>165730</v>
      </c>
      <c r="J34" s="8">
        <v>192218</v>
      </c>
      <c r="K34" s="8">
        <f aca="true" t="shared" si="1" ref="K34:R34">SUM(K7:K33)</f>
        <v>208771</v>
      </c>
      <c r="L34" s="8">
        <v>221746</v>
      </c>
      <c r="M34" s="8">
        <f t="shared" si="1"/>
        <v>114215.78000000003</v>
      </c>
      <c r="N34" s="8">
        <f>SUM(N7:N33)</f>
        <v>230480.80000000005</v>
      </c>
      <c r="O34" s="8">
        <f>SUM(O7:O33)</f>
        <v>243167.99452</v>
      </c>
      <c r="P34" s="8">
        <f t="shared" si="1"/>
        <v>257206.215</v>
      </c>
      <c r="Q34" s="8">
        <f>SUM(Q7:Q33)</f>
        <v>250443.08582</v>
      </c>
      <c r="R34" s="8">
        <f t="shared" si="1"/>
        <v>254227.08582</v>
      </c>
      <c r="S34" s="52">
        <f>(R34-O34)/O34</f>
        <v>0.045479222386276726</v>
      </c>
    </row>
    <row r="36" spans="15:17" ht="12.75">
      <c r="O36" s="22" t="s">
        <v>488</v>
      </c>
      <c r="P36" s="22"/>
      <c r="Q36" s="56">
        <f>P34-Q34</f>
        <v>6763.129179999989</v>
      </c>
    </row>
    <row r="37" spans="1:17" ht="12.75">
      <c r="A37" t="s">
        <v>978</v>
      </c>
      <c r="O37" s="22" t="s">
        <v>761</v>
      </c>
      <c r="P37" s="22"/>
      <c r="Q37" s="56">
        <f>O34-Q34</f>
        <v>-7275.0913</v>
      </c>
    </row>
    <row r="38" spans="15:17" ht="12.75">
      <c r="O38" s="22" t="s">
        <v>436</v>
      </c>
      <c r="P38" s="22"/>
      <c r="Q38" s="56">
        <f>Q34-R34</f>
        <v>-3784</v>
      </c>
    </row>
    <row r="39" spans="1:12" ht="12.75">
      <c r="A39" t="s">
        <v>558</v>
      </c>
      <c r="I39" s="43">
        <f>131729+13333</f>
        <v>145062</v>
      </c>
      <c r="J39" s="43">
        <v>195037.34</v>
      </c>
      <c r="K39" s="43">
        <v>200573</v>
      </c>
      <c r="L39" s="43">
        <v>227243</v>
      </c>
    </row>
    <row r="40" ht="12.75">
      <c r="B40" t="s">
        <v>127</v>
      </c>
    </row>
    <row r="41" ht="12.75">
      <c r="A41" t="s">
        <v>1036</v>
      </c>
    </row>
    <row r="43" ht="12.75">
      <c r="A43" t="s">
        <v>31</v>
      </c>
    </row>
    <row r="59" ht="12.75">
      <c r="S59" s="2"/>
    </row>
    <row r="60" ht="12.75">
      <c r="S60" s="2"/>
    </row>
    <row r="61" ht="12.75">
      <c r="S61" s="2"/>
    </row>
    <row r="62" ht="12.75"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T234"/>
  <sheetViews>
    <sheetView workbookViewId="0" topLeftCell="A2">
      <pane ySplit="1080" topLeftCell="BM1" activePane="bottomLeft" state="split"/>
      <selection pane="topLeft" activeCell="M2" sqref="M2"/>
      <selection pane="bottomLeft" activeCell="T14" sqref="T14"/>
    </sheetView>
  </sheetViews>
  <sheetFormatPr defaultColWidth="9.140625" defaultRowHeight="12.75"/>
  <cols>
    <col min="1" max="1" width="35.7109375" style="22" customWidth="1"/>
    <col min="2" max="2" width="6.57421875" style="22" bestFit="1" customWidth="1"/>
    <col min="3" max="9" width="8.8515625" style="22" hidden="1" customWidth="1"/>
    <col min="10" max="10" width="10.7109375" style="22" customWidth="1"/>
    <col min="11" max="11" width="8.8515625" style="22" bestFit="1" customWidth="1"/>
    <col min="12" max="12" width="9.8515625" style="22" customWidth="1"/>
    <col min="13" max="13" width="10.8515625" style="22" bestFit="1" customWidth="1"/>
    <col min="14" max="14" width="10.28125" style="22" bestFit="1" customWidth="1"/>
    <col min="15" max="15" width="10.7109375" style="22" customWidth="1"/>
    <col min="16" max="16" width="10.00390625" style="22" customWidth="1"/>
    <col min="17" max="17" width="8.8515625" style="22" bestFit="1" customWidth="1"/>
    <col min="18" max="18" width="7.28125" style="22" bestFit="1" customWidth="1"/>
    <col min="19" max="19" width="12.57421875" style="22" bestFit="1" customWidth="1"/>
    <col min="20" max="20" width="14.421875" style="22" customWidth="1"/>
    <col min="21" max="16384" width="9.140625" style="22" customWidth="1"/>
  </cols>
  <sheetData>
    <row r="1" ht="12.75">
      <c r="R1" s="22" t="s">
        <v>852</v>
      </c>
    </row>
    <row r="2" spans="1:19" ht="12.75">
      <c r="A2" s="22" t="s">
        <v>106</v>
      </c>
      <c r="C2" s="26" t="s">
        <v>108</v>
      </c>
      <c r="D2" s="26"/>
      <c r="E2" s="26"/>
      <c r="F2" s="143"/>
      <c r="G2" s="144"/>
      <c r="H2" s="145"/>
      <c r="I2" s="26"/>
      <c r="J2" s="26"/>
      <c r="K2" s="26"/>
      <c r="L2" s="26"/>
      <c r="M2" s="51">
        <v>12</v>
      </c>
      <c r="O2" s="26"/>
      <c r="P2" s="26"/>
      <c r="Q2" s="26" t="s">
        <v>549</v>
      </c>
      <c r="R2" s="26" t="s">
        <v>501</v>
      </c>
      <c r="S2" s="26" t="s">
        <v>501</v>
      </c>
    </row>
    <row r="3" spans="1:19" ht="12.75">
      <c r="A3" s="22" t="s">
        <v>107</v>
      </c>
      <c r="B3" s="22">
        <v>100</v>
      </c>
      <c r="C3" s="26" t="s">
        <v>109</v>
      </c>
      <c r="D3" s="26" t="s">
        <v>425</v>
      </c>
      <c r="E3" s="26" t="s">
        <v>425</v>
      </c>
      <c r="F3" s="26" t="s">
        <v>425</v>
      </c>
      <c r="G3" s="26" t="s">
        <v>425</v>
      </c>
      <c r="H3" s="26" t="s">
        <v>425</v>
      </c>
      <c r="I3" s="26" t="s">
        <v>425</v>
      </c>
      <c r="J3" s="26" t="s">
        <v>425</v>
      </c>
      <c r="K3" s="26" t="s">
        <v>425</v>
      </c>
      <c r="L3" s="26" t="s">
        <v>425</v>
      </c>
      <c r="M3" s="26" t="s">
        <v>424</v>
      </c>
      <c r="N3" s="26" t="s">
        <v>445</v>
      </c>
      <c r="O3" s="26" t="s">
        <v>354</v>
      </c>
      <c r="P3" s="26" t="s">
        <v>431</v>
      </c>
      <c r="Q3" s="26" t="s">
        <v>421</v>
      </c>
      <c r="R3" s="26" t="s">
        <v>427</v>
      </c>
      <c r="S3" s="26" t="s">
        <v>427</v>
      </c>
    </row>
    <row r="4" spans="1:19" ht="12.75">
      <c r="A4" s="46" t="s">
        <v>417</v>
      </c>
      <c r="C4" s="26">
        <v>1999</v>
      </c>
      <c r="D4" s="23">
        <v>2000</v>
      </c>
      <c r="E4" s="23">
        <v>2001</v>
      </c>
      <c r="F4" s="23">
        <v>2002</v>
      </c>
      <c r="G4" s="23">
        <v>2003</v>
      </c>
      <c r="H4" s="23">
        <v>2004</v>
      </c>
      <c r="I4" s="23">
        <v>2005</v>
      </c>
      <c r="J4" s="23">
        <v>2006</v>
      </c>
      <c r="K4" s="23">
        <v>2007</v>
      </c>
      <c r="L4" s="23">
        <v>2008</v>
      </c>
      <c r="M4" s="23">
        <v>2009</v>
      </c>
      <c r="N4" s="23">
        <v>2009</v>
      </c>
      <c r="O4" s="23">
        <v>2009</v>
      </c>
      <c r="P4" s="23">
        <v>2010</v>
      </c>
      <c r="Q4" s="23">
        <v>2010</v>
      </c>
      <c r="R4" s="23" t="s">
        <v>801</v>
      </c>
      <c r="S4" s="23" t="s">
        <v>60</v>
      </c>
    </row>
    <row r="5" spans="1:20" ht="12.75">
      <c r="A5" s="41" t="s">
        <v>719</v>
      </c>
      <c r="B5" s="42">
        <v>31.11</v>
      </c>
      <c r="C5" s="43">
        <v>2407952</v>
      </c>
      <c r="D5" s="43">
        <v>2464262</v>
      </c>
      <c r="E5" s="43">
        <v>2695752</v>
      </c>
      <c r="F5" s="43">
        <v>3020113</v>
      </c>
      <c r="G5" s="43">
        <v>3241429</v>
      </c>
      <c r="H5" s="43">
        <v>3291749</v>
      </c>
      <c r="I5" s="43">
        <f>3332239+15792</f>
        <v>3348031</v>
      </c>
      <c r="J5" s="43">
        <v>3455420.43</v>
      </c>
      <c r="K5" s="43">
        <v>3398663.65</v>
      </c>
      <c r="L5" s="43">
        <v>3486298</v>
      </c>
      <c r="M5" s="31">
        <v>3615196</v>
      </c>
      <c r="N5" s="44">
        <v>3615196</v>
      </c>
      <c r="O5" s="24">
        <v>3687951</v>
      </c>
      <c r="P5" s="24">
        <v>4000000</v>
      </c>
      <c r="Q5" s="24">
        <v>4000000</v>
      </c>
      <c r="R5" s="142">
        <f aca="true" t="shared" si="0" ref="R5:R23">(P5-O5)/O5</f>
        <v>0.08461310901365013</v>
      </c>
      <c r="S5" s="101">
        <f aca="true" t="shared" si="1" ref="S5:S11">(Q5-O5)/O5</f>
        <v>0.08461310901365013</v>
      </c>
      <c r="T5" s="131">
        <v>0.949</v>
      </c>
    </row>
    <row r="6" spans="1:20" ht="12.75">
      <c r="A6" s="41" t="s">
        <v>720</v>
      </c>
      <c r="B6" s="42">
        <v>31.112</v>
      </c>
      <c r="C6" s="43">
        <v>2695</v>
      </c>
      <c r="D6" s="43">
        <v>1788</v>
      </c>
      <c r="E6" s="43">
        <v>1226</v>
      </c>
      <c r="F6" s="43">
        <v>812</v>
      </c>
      <c r="G6" s="43">
        <v>1701</v>
      </c>
      <c r="H6" s="43">
        <v>1322</v>
      </c>
      <c r="I6" s="43">
        <v>2245</v>
      </c>
      <c r="J6" s="43">
        <v>1481</v>
      </c>
      <c r="K6" s="43">
        <v>2131</v>
      </c>
      <c r="L6" s="43">
        <v>2132</v>
      </c>
      <c r="M6" s="31">
        <v>1283</v>
      </c>
      <c r="N6" s="44">
        <v>1283</v>
      </c>
      <c r="O6" s="43">
        <v>1731</v>
      </c>
      <c r="P6" s="43">
        <v>1300</v>
      </c>
      <c r="Q6" s="43">
        <v>1300</v>
      </c>
      <c r="R6" s="142">
        <f t="shared" si="0"/>
        <v>-0.24898902368573078</v>
      </c>
      <c r="S6" s="101">
        <f t="shared" si="1"/>
        <v>-0.24898902368573078</v>
      </c>
      <c r="T6" s="130">
        <v>0.9</v>
      </c>
    </row>
    <row r="7" spans="1:19" ht="12.75">
      <c r="A7" s="41" t="s">
        <v>546</v>
      </c>
      <c r="B7" s="42">
        <v>31.12</v>
      </c>
      <c r="C7" s="43">
        <v>115514</v>
      </c>
      <c r="D7" s="43">
        <v>202282</v>
      </c>
      <c r="E7" s="43">
        <v>137834</v>
      </c>
      <c r="F7" s="43">
        <v>95557</v>
      </c>
      <c r="G7" s="43">
        <v>36183</v>
      </c>
      <c r="H7" s="43">
        <v>5863</v>
      </c>
      <c r="I7" s="43">
        <f>5645+2518</f>
        <v>8163</v>
      </c>
      <c r="J7" s="43">
        <f>11780.67+89</f>
        <v>11869.67</v>
      </c>
      <c r="K7" s="43">
        <v>2072</v>
      </c>
      <c r="L7" s="43">
        <v>615</v>
      </c>
      <c r="M7" s="31">
        <v>177</v>
      </c>
      <c r="N7" s="31">
        <v>177</v>
      </c>
      <c r="O7" s="43">
        <v>1000</v>
      </c>
      <c r="P7" s="43">
        <v>500</v>
      </c>
      <c r="Q7" s="43">
        <v>500</v>
      </c>
      <c r="R7" s="142">
        <f t="shared" si="0"/>
        <v>-0.5</v>
      </c>
      <c r="S7" s="101">
        <f t="shared" si="1"/>
        <v>-0.5</v>
      </c>
    </row>
    <row r="8" spans="1:19" ht="12.75">
      <c r="A8" s="41" t="s">
        <v>716</v>
      </c>
      <c r="B8" s="42">
        <v>31.124</v>
      </c>
      <c r="C8" s="43"/>
      <c r="D8" s="43"/>
      <c r="E8" s="43">
        <v>6428</v>
      </c>
      <c r="F8" s="43">
        <v>12393</v>
      </c>
      <c r="G8" s="43">
        <v>1607</v>
      </c>
      <c r="H8" s="43">
        <v>2785</v>
      </c>
      <c r="I8" s="43">
        <f>1344+4</f>
        <v>1348</v>
      </c>
      <c r="J8" s="43">
        <v>738</v>
      </c>
      <c r="K8" s="43">
        <v>507</v>
      </c>
      <c r="L8" s="43">
        <v>409</v>
      </c>
      <c r="M8" s="31">
        <v>285</v>
      </c>
      <c r="N8" s="31">
        <v>285</v>
      </c>
      <c r="O8" s="43">
        <v>400</v>
      </c>
      <c r="P8" s="43">
        <v>300</v>
      </c>
      <c r="Q8" s="43">
        <v>300</v>
      </c>
      <c r="R8" s="142">
        <f t="shared" si="0"/>
        <v>-0.25</v>
      </c>
      <c r="S8" s="101">
        <f t="shared" si="1"/>
        <v>-0.25</v>
      </c>
    </row>
    <row r="9" spans="1:20" ht="12.75">
      <c r="A9" s="41" t="s">
        <v>721</v>
      </c>
      <c r="B9" s="42">
        <v>31.131</v>
      </c>
      <c r="C9" s="43">
        <v>270117</v>
      </c>
      <c r="D9" s="43">
        <v>370437</v>
      </c>
      <c r="E9" s="43">
        <v>315974</v>
      </c>
      <c r="F9" s="43">
        <v>368229</v>
      </c>
      <c r="G9" s="43">
        <v>293803</v>
      </c>
      <c r="H9" s="43">
        <v>268533</v>
      </c>
      <c r="I9" s="43">
        <f>294599+9704</f>
        <v>304303</v>
      </c>
      <c r="J9" s="43">
        <v>271769.89</v>
      </c>
      <c r="K9" s="43">
        <v>277015</v>
      </c>
      <c r="L9" s="43">
        <v>284887</v>
      </c>
      <c r="M9" s="31">
        <v>246295</v>
      </c>
      <c r="N9" s="31">
        <f>(12/$M$2)*M9</f>
        <v>246295</v>
      </c>
      <c r="O9" s="43">
        <v>276000</v>
      </c>
      <c r="P9" s="43">
        <v>250000</v>
      </c>
      <c r="Q9" s="43">
        <v>250000</v>
      </c>
      <c r="R9" s="142">
        <f t="shared" si="0"/>
        <v>-0.09420289855072464</v>
      </c>
      <c r="S9" s="101">
        <f t="shared" si="1"/>
        <v>-0.09420289855072464</v>
      </c>
      <c r="T9" s="130">
        <v>1</v>
      </c>
    </row>
    <row r="10" spans="1:20" ht="12.75">
      <c r="A10" s="41" t="s">
        <v>722</v>
      </c>
      <c r="B10" s="42">
        <v>31.132</v>
      </c>
      <c r="C10" s="43">
        <v>11097</v>
      </c>
      <c r="D10" s="43">
        <v>20186</v>
      </c>
      <c r="E10" s="43">
        <v>17238</v>
      </c>
      <c r="F10" s="43">
        <v>22961</v>
      </c>
      <c r="G10" s="43">
        <v>7704</v>
      </c>
      <c r="H10" s="43">
        <v>6214</v>
      </c>
      <c r="I10" s="43">
        <f>23619+251</f>
        <v>23870</v>
      </c>
      <c r="J10" s="43">
        <v>18327.62</v>
      </c>
      <c r="K10" s="43">
        <v>19889</v>
      </c>
      <c r="L10" s="43">
        <v>20194</v>
      </c>
      <c r="M10" s="31">
        <v>21571</v>
      </c>
      <c r="N10" s="31">
        <f>(12/$M$2)*M10</f>
        <v>21571</v>
      </c>
      <c r="O10" s="43">
        <v>25026</v>
      </c>
      <c r="P10" s="43">
        <v>21000</v>
      </c>
      <c r="Q10" s="43">
        <v>21000</v>
      </c>
      <c r="R10" s="142">
        <f t="shared" si="0"/>
        <v>-0.1608726923999041</v>
      </c>
      <c r="S10" s="101">
        <f t="shared" si="1"/>
        <v>-0.1608726923999041</v>
      </c>
      <c r="T10" s="130">
        <v>0.66</v>
      </c>
    </row>
    <row r="11" spans="1:20" ht="12.75">
      <c r="A11" s="41" t="s">
        <v>547</v>
      </c>
      <c r="B11" s="42">
        <v>31.1321</v>
      </c>
      <c r="C11" s="43">
        <v>401</v>
      </c>
      <c r="D11" s="43">
        <v>8531</v>
      </c>
      <c r="E11" s="43">
        <v>9056</v>
      </c>
      <c r="F11" s="43">
        <v>4758</v>
      </c>
      <c r="G11" s="43">
        <v>2966</v>
      </c>
      <c r="H11" s="43">
        <v>31976</v>
      </c>
      <c r="I11" s="43">
        <f>1711+26</f>
        <v>1737</v>
      </c>
      <c r="J11" s="43">
        <v>654</v>
      </c>
      <c r="K11" s="43">
        <v>444</v>
      </c>
      <c r="L11" s="43">
        <v>1610</v>
      </c>
      <c r="M11" s="31">
        <v>1340</v>
      </c>
      <c r="N11" s="31">
        <f>(12/$M$2)*M11</f>
        <v>1340</v>
      </c>
      <c r="O11" s="43">
        <v>1500</v>
      </c>
      <c r="P11" s="43">
        <v>1300</v>
      </c>
      <c r="Q11" s="43">
        <v>1300</v>
      </c>
      <c r="R11" s="142">
        <f t="shared" si="0"/>
        <v>-0.13333333333333333</v>
      </c>
      <c r="S11" s="101">
        <f t="shared" si="1"/>
        <v>-0.13333333333333333</v>
      </c>
      <c r="T11" s="4"/>
    </row>
    <row r="12" spans="1:20" ht="12.75">
      <c r="A12" s="41" t="s">
        <v>864</v>
      </c>
      <c r="B12" s="42">
        <v>31.1322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1">
        <v>0</v>
      </c>
      <c r="N12" s="31">
        <v>500</v>
      </c>
      <c r="O12" s="43">
        <v>708</v>
      </c>
      <c r="P12" s="43"/>
      <c r="Q12" s="43"/>
      <c r="R12" s="142">
        <f t="shared" si="0"/>
        <v>-1</v>
      </c>
      <c r="S12" s="101"/>
      <c r="T12" s="4"/>
    </row>
    <row r="13" spans="1:20" ht="12.75">
      <c r="A13" s="41" t="s">
        <v>704</v>
      </c>
      <c r="B13" s="42">
        <v>31.134</v>
      </c>
      <c r="C13" s="43">
        <v>82450</v>
      </c>
      <c r="D13" s="43">
        <v>92077</v>
      </c>
      <c r="E13" s="43">
        <v>124417</v>
      </c>
      <c r="F13" s="43">
        <v>145359</v>
      </c>
      <c r="G13" s="43">
        <v>192419</v>
      </c>
      <c r="H13" s="43">
        <v>163471</v>
      </c>
      <c r="I13" s="43">
        <f>165961+6033</f>
        <v>171994</v>
      </c>
      <c r="J13" s="43">
        <v>166525.85</v>
      </c>
      <c r="K13" s="43">
        <v>181152</v>
      </c>
      <c r="L13" s="43">
        <v>137203</v>
      </c>
      <c r="M13" s="31">
        <v>110549</v>
      </c>
      <c r="N13" s="31">
        <f>(12/$M$2)*M13</f>
        <v>110549</v>
      </c>
      <c r="O13" s="43">
        <v>140000</v>
      </c>
      <c r="P13" s="43">
        <v>111000</v>
      </c>
      <c r="Q13" s="43">
        <v>111000</v>
      </c>
      <c r="R13" s="142">
        <f t="shared" si="0"/>
        <v>-0.20714285714285716</v>
      </c>
      <c r="S13" s="101">
        <f>(Q13-O13)/O13</f>
        <v>-0.20714285714285716</v>
      </c>
      <c r="T13" s="4"/>
    </row>
    <row r="14" spans="1:20" ht="12.75">
      <c r="A14" s="41" t="s">
        <v>548</v>
      </c>
      <c r="B14" s="42">
        <v>31.135</v>
      </c>
      <c r="C14" s="43"/>
      <c r="D14" s="43">
        <v>1240</v>
      </c>
      <c r="E14" s="43">
        <v>1337</v>
      </c>
      <c r="F14" s="43">
        <v>1553</v>
      </c>
      <c r="G14" s="43">
        <v>1538</v>
      </c>
      <c r="H14" s="43">
        <v>1521</v>
      </c>
      <c r="I14" s="43">
        <v>1283</v>
      </c>
      <c r="J14" s="43">
        <v>1348</v>
      </c>
      <c r="K14" s="43">
        <v>1175</v>
      </c>
      <c r="L14" s="43">
        <v>1244</v>
      </c>
      <c r="M14" s="150">
        <v>1274</v>
      </c>
      <c r="N14" s="31">
        <v>1274</v>
      </c>
      <c r="O14" s="43">
        <v>1200</v>
      </c>
      <c r="P14" s="43">
        <v>1300</v>
      </c>
      <c r="Q14" s="43">
        <v>1300</v>
      </c>
      <c r="R14" s="142">
        <f t="shared" si="0"/>
        <v>0.08333333333333333</v>
      </c>
      <c r="S14" s="101">
        <f>(Q14-O14)/O14</f>
        <v>0.08333333333333333</v>
      </c>
      <c r="T14" s="4"/>
    </row>
    <row r="15" spans="1:19" ht="14.25" customHeight="1">
      <c r="A15" s="41" t="s">
        <v>627</v>
      </c>
      <c r="B15" s="42">
        <v>31.1389</v>
      </c>
      <c r="C15" s="43"/>
      <c r="D15" s="43"/>
      <c r="E15" s="43"/>
      <c r="F15" s="43"/>
      <c r="G15" s="43"/>
      <c r="H15" s="43"/>
      <c r="I15" s="43">
        <f>237+773</f>
        <v>1010</v>
      </c>
      <c r="J15" s="43">
        <v>1779</v>
      </c>
      <c r="K15" s="43">
        <v>8006</v>
      </c>
      <c r="L15" s="43">
        <v>3828</v>
      </c>
      <c r="M15" s="31">
        <v>1999</v>
      </c>
      <c r="N15" s="31">
        <v>2200</v>
      </c>
      <c r="O15" s="43">
        <v>5000</v>
      </c>
      <c r="P15" s="43">
        <v>2000</v>
      </c>
      <c r="Q15" s="43">
        <v>2000</v>
      </c>
      <c r="R15" s="142">
        <f t="shared" si="0"/>
        <v>-0.6</v>
      </c>
      <c r="S15" s="101"/>
    </row>
    <row r="16" spans="1:19" ht="12.75">
      <c r="A16" s="45" t="s">
        <v>550</v>
      </c>
      <c r="B16" s="42">
        <v>31.139</v>
      </c>
      <c r="C16" s="43"/>
      <c r="E16" s="43">
        <v>2757</v>
      </c>
      <c r="F16" s="43"/>
      <c r="G16" s="43"/>
      <c r="H16" s="43"/>
      <c r="I16" s="43"/>
      <c r="J16" s="43">
        <v>9292.01</v>
      </c>
      <c r="K16" s="43">
        <v>6093</v>
      </c>
      <c r="L16" s="43">
        <v>889</v>
      </c>
      <c r="M16" s="31">
        <v>386</v>
      </c>
      <c r="N16" s="31">
        <v>386</v>
      </c>
      <c r="O16" s="43">
        <v>1000</v>
      </c>
      <c r="P16" s="43">
        <v>400</v>
      </c>
      <c r="Q16" s="43">
        <v>400</v>
      </c>
      <c r="R16" s="142">
        <f t="shared" si="0"/>
        <v>-0.6</v>
      </c>
      <c r="S16" s="101"/>
    </row>
    <row r="17" spans="1:19" ht="12.75">
      <c r="A17" s="45" t="s">
        <v>551</v>
      </c>
      <c r="B17" s="42">
        <v>31.1391</v>
      </c>
      <c r="C17" s="43"/>
      <c r="E17" s="43">
        <v>1371</v>
      </c>
      <c r="F17" s="43">
        <v>3480</v>
      </c>
      <c r="G17" s="43">
        <v>3405</v>
      </c>
      <c r="H17" s="43">
        <v>526</v>
      </c>
      <c r="I17" s="43">
        <f>2700+100</f>
        <v>2800</v>
      </c>
      <c r="J17" s="43">
        <v>3935</v>
      </c>
      <c r="K17" s="43">
        <v>4255</v>
      </c>
      <c r="L17" s="43">
        <v>3978</v>
      </c>
      <c r="M17" s="44">
        <v>4017</v>
      </c>
      <c r="N17" s="31">
        <f>(12/$M$2)*M17</f>
        <v>4017</v>
      </c>
      <c r="O17" s="43">
        <v>3700</v>
      </c>
      <c r="P17" s="43">
        <v>4000</v>
      </c>
      <c r="Q17" s="43">
        <v>4000</v>
      </c>
      <c r="R17" s="142">
        <f t="shared" si="0"/>
        <v>0.08108108108108109</v>
      </c>
      <c r="S17" s="101"/>
    </row>
    <row r="18" spans="1:19" ht="12.75">
      <c r="A18" s="45" t="s">
        <v>423</v>
      </c>
      <c r="B18" s="42">
        <v>31.1392</v>
      </c>
      <c r="C18" s="43"/>
      <c r="E18" s="43">
        <v>25</v>
      </c>
      <c r="F18" s="43">
        <v>76</v>
      </c>
      <c r="G18" s="43">
        <v>77</v>
      </c>
      <c r="H18" s="43">
        <v>55</v>
      </c>
      <c r="I18" s="43">
        <v>43</v>
      </c>
      <c r="J18" s="43">
        <v>59</v>
      </c>
      <c r="K18" s="43">
        <v>37</v>
      </c>
      <c r="L18" s="43">
        <v>295</v>
      </c>
      <c r="M18" s="31">
        <v>1</v>
      </c>
      <c r="N18" s="31">
        <f>(12/$M$2)*M18</f>
        <v>1</v>
      </c>
      <c r="O18" s="43">
        <v>50</v>
      </c>
      <c r="P18" s="43"/>
      <c r="Q18" s="43"/>
      <c r="R18" s="142">
        <f t="shared" si="0"/>
        <v>-1</v>
      </c>
      <c r="S18" s="101"/>
    </row>
    <row r="19" spans="1:19" ht="12.75" hidden="1">
      <c r="A19" s="45" t="s">
        <v>613</v>
      </c>
      <c r="B19" s="42">
        <v>31.1394</v>
      </c>
      <c r="C19" s="43"/>
      <c r="D19" s="43">
        <v>5419</v>
      </c>
      <c r="E19" s="43">
        <v>1138</v>
      </c>
      <c r="F19" s="43">
        <v>2836</v>
      </c>
      <c r="G19" s="43"/>
      <c r="H19" s="43"/>
      <c r="I19" s="43"/>
      <c r="J19" s="43"/>
      <c r="K19" s="43"/>
      <c r="L19" s="43"/>
      <c r="M19" s="44"/>
      <c r="N19" s="31">
        <f>(12/$M$2)*M19</f>
        <v>0</v>
      </c>
      <c r="O19" s="43"/>
      <c r="P19" s="43"/>
      <c r="Q19" s="43"/>
      <c r="R19" s="142" t="e">
        <f t="shared" si="0"/>
        <v>#DIV/0!</v>
      </c>
      <c r="S19" s="101"/>
    </row>
    <row r="20" spans="1:19" ht="12.75">
      <c r="A20" s="22" t="s">
        <v>552</v>
      </c>
      <c r="B20" s="42">
        <v>31.1395</v>
      </c>
      <c r="C20" s="43"/>
      <c r="D20" s="43"/>
      <c r="E20" s="43"/>
      <c r="F20" s="43">
        <v>500</v>
      </c>
      <c r="G20" s="43">
        <v>600</v>
      </c>
      <c r="H20" s="43">
        <v>800</v>
      </c>
      <c r="I20" s="43">
        <v>760</v>
      </c>
      <c r="J20" s="43">
        <v>680</v>
      </c>
      <c r="K20" s="43">
        <v>820</v>
      </c>
      <c r="L20" s="43">
        <v>735</v>
      </c>
      <c r="M20" s="31">
        <v>760</v>
      </c>
      <c r="N20" s="31">
        <f>(12/$M$2)*M20</f>
        <v>760</v>
      </c>
      <c r="O20" s="43">
        <v>800</v>
      </c>
      <c r="P20" s="43">
        <v>800</v>
      </c>
      <c r="Q20" s="43">
        <v>800</v>
      </c>
      <c r="R20" s="142">
        <f t="shared" si="0"/>
        <v>0</v>
      </c>
      <c r="S20" s="101"/>
    </row>
    <row r="21" spans="1:19" ht="12.75">
      <c r="A21" s="41" t="s">
        <v>553</v>
      </c>
      <c r="B21" s="42">
        <v>31.1396</v>
      </c>
      <c r="C21" s="43">
        <v>14871</v>
      </c>
      <c r="D21" s="43">
        <v>25630</v>
      </c>
      <c r="E21" s="43">
        <v>34695</v>
      </c>
      <c r="F21" s="43">
        <v>9040</v>
      </c>
      <c r="G21" s="43">
        <v>3755</v>
      </c>
      <c r="H21" s="43">
        <v>3365</v>
      </c>
      <c r="I21" s="43">
        <v>7466</v>
      </c>
      <c r="J21" s="43">
        <v>18228</v>
      </c>
      <c r="K21" s="43">
        <v>19633</v>
      </c>
      <c r="L21" s="43">
        <v>15339</v>
      </c>
      <c r="M21" s="31">
        <v>4013</v>
      </c>
      <c r="N21" s="31">
        <f>(12/$M$2)*M21</f>
        <v>4013</v>
      </c>
      <c r="O21" s="43">
        <v>22000</v>
      </c>
      <c r="P21" s="43">
        <v>4000</v>
      </c>
      <c r="Q21" s="43">
        <v>4000</v>
      </c>
      <c r="R21" s="142">
        <f t="shared" si="0"/>
        <v>-0.8181818181818182</v>
      </c>
      <c r="S21" s="101">
        <f>(Q21-O21)/O21</f>
        <v>-0.8181818181818182</v>
      </c>
    </row>
    <row r="22" spans="1:19" ht="12.75">
      <c r="A22" s="41" t="s">
        <v>554</v>
      </c>
      <c r="B22" s="42">
        <v>31.1397</v>
      </c>
      <c r="C22" s="43">
        <v>204126</v>
      </c>
      <c r="D22" s="43">
        <v>220751</v>
      </c>
      <c r="E22" s="43">
        <v>229760</v>
      </c>
      <c r="F22" s="43">
        <v>231861</v>
      </c>
      <c r="G22" s="43">
        <v>234423</v>
      </c>
      <c r="H22" s="43">
        <v>260059</v>
      </c>
      <c r="I22" s="43">
        <f>262340+2603</f>
        <v>264943</v>
      </c>
      <c r="J22" s="43">
        <v>291205</v>
      </c>
      <c r="K22" s="43">
        <v>301679</v>
      </c>
      <c r="L22" s="43">
        <v>324755</v>
      </c>
      <c r="M22" s="31">
        <v>330397</v>
      </c>
      <c r="N22" s="31">
        <v>330000</v>
      </c>
      <c r="O22" s="43">
        <v>330000</v>
      </c>
      <c r="P22" s="43">
        <v>350000</v>
      </c>
      <c r="Q22" s="43">
        <v>350000</v>
      </c>
      <c r="R22" s="142">
        <f t="shared" si="0"/>
        <v>0.06060606060606061</v>
      </c>
      <c r="S22" s="101">
        <f>(Q22-O22)/O22</f>
        <v>0.06060606060606061</v>
      </c>
    </row>
    <row r="23" spans="1:19" ht="12.75">
      <c r="A23" s="41" t="s">
        <v>555</v>
      </c>
      <c r="B23" s="42">
        <v>31.1398</v>
      </c>
      <c r="C23" s="43">
        <v>26596</v>
      </c>
      <c r="D23" s="43">
        <v>33813</v>
      </c>
      <c r="E23" s="43">
        <v>31822</v>
      </c>
      <c r="F23" s="43">
        <v>31679</v>
      </c>
      <c r="G23" s="43">
        <v>33639</v>
      </c>
      <c r="H23" s="43">
        <v>37953</v>
      </c>
      <c r="I23" s="43">
        <f>50506+1751</f>
        <v>52257</v>
      </c>
      <c r="J23" s="43">
        <v>44872</v>
      </c>
      <c r="K23" s="43">
        <v>41455</v>
      </c>
      <c r="L23" s="43">
        <v>54664</v>
      </c>
      <c r="M23" s="31">
        <v>39319</v>
      </c>
      <c r="N23" s="31">
        <v>43229</v>
      </c>
      <c r="O23" s="43">
        <v>50000</v>
      </c>
      <c r="P23" s="43">
        <v>44000</v>
      </c>
      <c r="Q23" s="43">
        <v>44000</v>
      </c>
      <c r="R23" s="142">
        <f t="shared" si="0"/>
        <v>-0.12</v>
      </c>
      <c r="S23" s="101">
        <f>(Q23-O23)/O23</f>
        <v>-0.12</v>
      </c>
    </row>
    <row r="24" spans="1:19" ht="12.75" hidden="1">
      <c r="A24" s="41" t="s">
        <v>573</v>
      </c>
      <c r="B24" s="42">
        <v>31.1399</v>
      </c>
      <c r="C24" s="43">
        <v>2700</v>
      </c>
      <c r="D24" s="43">
        <v>2500</v>
      </c>
      <c r="E24" s="43">
        <v>2600</v>
      </c>
      <c r="F24" s="43">
        <v>2428</v>
      </c>
      <c r="G24" s="43"/>
      <c r="H24" s="43">
        <v>18192</v>
      </c>
      <c r="I24" s="43"/>
      <c r="J24" s="43"/>
      <c r="K24" s="43"/>
      <c r="L24" s="43"/>
      <c r="M24" s="44"/>
      <c r="N24" s="31"/>
      <c r="O24" s="43"/>
      <c r="P24" s="43"/>
      <c r="Q24" s="43"/>
      <c r="R24" s="142"/>
      <c r="S24" s="101"/>
    </row>
    <row r="25" spans="1:19" ht="12.75">
      <c r="A25" s="41" t="s">
        <v>735</v>
      </c>
      <c r="B25" s="42">
        <v>31.1401</v>
      </c>
      <c r="C25" s="43"/>
      <c r="D25" s="43"/>
      <c r="E25" s="43"/>
      <c r="F25" s="43"/>
      <c r="G25" s="43"/>
      <c r="H25" s="43"/>
      <c r="I25" s="43"/>
      <c r="J25" s="43">
        <v>640</v>
      </c>
      <c r="K25" s="43"/>
      <c r="L25" s="43"/>
      <c r="M25" s="31"/>
      <c r="N25" s="31"/>
      <c r="O25" s="43"/>
      <c r="P25" s="43"/>
      <c r="Q25" s="43"/>
      <c r="R25" s="142"/>
      <c r="S25" s="101"/>
    </row>
    <row r="26" spans="1:19" ht="12.75">
      <c r="A26" s="41" t="s">
        <v>574</v>
      </c>
      <c r="B26" s="42">
        <v>31.15</v>
      </c>
      <c r="C26" s="43">
        <v>19682</v>
      </c>
      <c r="D26" s="43">
        <v>5304</v>
      </c>
      <c r="E26" s="43">
        <v>12501</v>
      </c>
      <c r="F26" s="43">
        <v>49173</v>
      </c>
      <c r="G26" s="43">
        <v>7346</v>
      </c>
      <c r="H26" s="43">
        <v>19928</v>
      </c>
      <c r="I26" s="43">
        <v>30870</v>
      </c>
      <c r="J26" s="43">
        <v>4117.12</v>
      </c>
      <c r="K26" s="43">
        <v>55980.41</v>
      </c>
      <c r="L26" s="43">
        <v>11422</v>
      </c>
      <c r="M26" s="31">
        <v>4460</v>
      </c>
      <c r="N26" s="31">
        <v>4460</v>
      </c>
      <c r="O26" s="43">
        <v>9700</v>
      </c>
      <c r="P26" s="43">
        <v>4500</v>
      </c>
      <c r="Q26" s="43">
        <v>4500</v>
      </c>
      <c r="R26" s="142">
        <f aca="true" t="shared" si="2" ref="R26:R31">(P26-O26)/O26</f>
        <v>-0.5360824742268041</v>
      </c>
      <c r="S26" s="101">
        <f aca="true" t="shared" si="3" ref="S26:S31">(Q26-O26)/O26</f>
        <v>-0.5360824742268041</v>
      </c>
    </row>
    <row r="27" spans="1:19" ht="12.75">
      <c r="A27" s="41" t="s">
        <v>893</v>
      </c>
      <c r="B27" s="42">
        <v>31.16</v>
      </c>
      <c r="C27" s="43">
        <v>21224</v>
      </c>
      <c r="D27" s="43">
        <v>27225</v>
      </c>
      <c r="E27" s="43">
        <v>29905</v>
      </c>
      <c r="F27" s="43">
        <v>22988</v>
      </c>
      <c r="G27" s="43">
        <v>29255</v>
      </c>
      <c r="H27" s="43">
        <v>53251</v>
      </c>
      <c r="I27" s="43">
        <v>49637</v>
      </c>
      <c r="J27" s="43">
        <v>71408.6</v>
      </c>
      <c r="K27" s="43">
        <v>63221</v>
      </c>
      <c r="L27" s="43">
        <f>28943+1649</f>
        <v>30592</v>
      </c>
      <c r="M27" s="31">
        <v>21808</v>
      </c>
      <c r="N27" s="31">
        <f>(12/$M$2)*M27</f>
        <v>21808</v>
      </c>
      <c r="O27" s="43">
        <v>25000</v>
      </c>
      <c r="P27" s="43">
        <v>22000</v>
      </c>
      <c r="Q27" s="43">
        <v>22000</v>
      </c>
      <c r="R27" s="142">
        <f t="shared" si="2"/>
        <v>-0.12</v>
      </c>
      <c r="S27" s="101">
        <f t="shared" si="3"/>
        <v>-0.12</v>
      </c>
    </row>
    <row r="28" spans="1:19" ht="12.75">
      <c r="A28" s="41" t="s">
        <v>894</v>
      </c>
      <c r="B28" s="42">
        <v>31.1751</v>
      </c>
      <c r="C28" s="43">
        <v>28437</v>
      </c>
      <c r="D28" s="43">
        <v>34312</v>
      </c>
      <c r="E28" s="43">
        <v>31394</v>
      </c>
      <c r="F28" s="43">
        <v>33261</v>
      </c>
      <c r="G28" s="43">
        <v>34448</v>
      </c>
      <c r="H28" s="43">
        <v>33206</v>
      </c>
      <c r="I28" s="43">
        <v>29744</v>
      </c>
      <c r="J28" s="43">
        <v>26457</v>
      </c>
      <c r="K28" s="43">
        <v>26634</v>
      </c>
      <c r="L28" s="43">
        <v>26832</v>
      </c>
      <c r="M28" s="31">
        <v>27427</v>
      </c>
      <c r="N28" s="31">
        <v>27500</v>
      </c>
      <c r="O28" s="43">
        <v>28000</v>
      </c>
      <c r="P28" s="43">
        <v>27500</v>
      </c>
      <c r="Q28" s="43">
        <v>27500</v>
      </c>
      <c r="R28" s="142">
        <f t="shared" si="2"/>
        <v>-0.017857142857142856</v>
      </c>
      <c r="S28" s="101">
        <f t="shared" si="3"/>
        <v>-0.017857142857142856</v>
      </c>
    </row>
    <row r="29" spans="1:19" ht="12.75">
      <c r="A29" s="41" t="s">
        <v>895</v>
      </c>
      <c r="B29" s="42">
        <v>31.1752</v>
      </c>
      <c r="C29" s="43">
        <v>287</v>
      </c>
      <c r="D29" s="43">
        <v>294</v>
      </c>
      <c r="E29" s="43">
        <v>269</v>
      </c>
      <c r="F29" s="43">
        <v>269</v>
      </c>
      <c r="G29" s="43">
        <v>294</v>
      </c>
      <c r="H29" s="43">
        <v>481</v>
      </c>
      <c r="I29" s="43">
        <v>424</v>
      </c>
      <c r="J29" s="43">
        <v>449.32</v>
      </c>
      <c r="K29" s="43">
        <v>302</v>
      </c>
      <c r="L29" s="43">
        <f>353+82</f>
        <v>435</v>
      </c>
      <c r="M29" s="31">
        <v>281</v>
      </c>
      <c r="N29" s="31">
        <v>350</v>
      </c>
      <c r="O29" s="43">
        <v>350</v>
      </c>
      <c r="P29" s="43">
        <v>300</v>
      </c>
      <c r="Q29" s="43">
        <v>300</v>
      </c>
      <c r="R29" s="142">
        <f t="shared" si="2"/>
        <v>-0.14285714285714285</v>
      </c>
      <c r="S29" s="101">
        <f t="shared" si="3"/>
        <v>-0.14285714285714285</v>
      </c>
    </row>
    <row r="30" spans="1:19" ht="12.75">
      <c r="A30" s="41" t="s">
        <v>896</v>
      </c>
      <c r="B30" s="42">
        <v>31.1753</v>
      </c>
      <c r="C30" s="43">
        <v>2515</v>
      </c>
      <c r="D30" s="43">
        <v>2781</v>
      </c>
      <c r="E30" s="43">
        <v>3065</v>
      </c>
      <c r="F30" s="43"/>
      <c r="G30" s="43">
        <v>3066</v>
      </c>
      <c r="H30" s="43"/>
      <c r="I30" s="43">
        <f>8047+715</f>
        <v>8762</v>
      </c>
      <c r="J30" s="43">
        <v>2607</v>
      </c>
      <c r="K30" s="43">
        <v>4345</v>
      </c>
      <c r="L30" s="43">
        <f>2607+869</f>
        <v>3476</v>
      </c>
      <c r="M30" s="31">
        <v>2607</v>
      </c>
      <c r="N30" s="31">
        <v>3500</v>
      </c>
      <c r="O30" s="43">
        <v>3500</v>
      </c>
      <c r="P30" s="43">
        <v>2600</v>
      </c>
      <c r="Q30" s="43">
        <v>2600</v>
      </c>
      <c r="R30" s="142">
        <f t="shared" si="2"/>
        <v>-0.2571428571428571</v>
      </c>
      <c r="S30" s="101">
        <f t="shared" si="3"/>
        <v>-0.2571428571428571</v>
      </c>
    </row>
    <row r="31" spans="1:19" ht="12.75">
      <c r="A31" s="41" t="s">
        <v>897</v>
      </c>
      <c r="B31" s="42">
        <v>31.1754</v>
      </c>
      <c r="C31" s="43">
        <v>4312</v>
      </c>
      <c r="D31" s="43">
        <v>2539</v>
      </c>
      <c r="E31" s="43">
        <v>7126</v>
      </c>
      <c r="F31" s="43">
        <v>2717</v>
      </c>
      <c r="G31" s="43">
        <v>8580</v>
      </c>
      <c r="H31" s="43">
        <v>6846</v>
      </c>
      <c r="I31" s="43">
        <v>11396</v>
      </c>
      <c r="J31" s="43">
        <v>29013</v>
      </c>
      <c r="K31" s="43">
        <v>35916</v>
      </c>
      <c r="L31" s="43">
        <v>38133</v>
      </c>
      <c r="M31" s="31">
        <v>38760</v>
      </c>
      <c r="N31" s="31">
        <v>38760</v>
      </c>
      <c r="O31" s="43">
        <v>38000</v>
      </c>
      <c r="P31" s="43">
        <v>39000</v>
      </c>
      <c r="Q31" s="43">
        <v>39000</v>
      </c>
      <c r="R31" s="142">
        <f t="shared" si="2"/>
        <v>0.02631578947368421</v>
      </c>
      <c r="S31" s="101">
        <f t="shared" si="3"/>
        <v>0.02631578947368421</v>
      </c>
    </row>
    <row r="32" spans="1:19" ht="12.75" hidden="1">
      <c r="A32" s="41" t="s">
        <v>898</v>
      </c>
      <c r="B32" s="42">
        <v>31.1755</v>
      </c>
      <c r="C32" s="43"/>
      <c r="D32" s="43"/>
      <c r="E32" s="43"/>
      <c r="F32" s="43"/>
      <c r="G32" s="43"/>
      <c r="H32" s="43"/>
      <c r="I32" s="43">
        <v>869</v>
      </c>
      <c r="J32" s="43"/>
      <c r="K32" s="43"/>
      <c r="L32" s="43"/>
      <c r="M32" s="44"/>
      <c r="N32" s="31"/>
      <c r="O32" s="43"/>
      <c r="P32" s="43"/>
      <c r="Q32" s="43"/>
      <c r="R32" s="142"/>
      <c r="S32" s="101"/>
    </row>
    <row r="33" spans="1:19" ht="12.75">
      <c r="A33" s="48" t="s">
        <v>800</v>
      </c>
      <c r="B33" s="42">
        <v>31.31</v>
      </c>
      <c r="C33" s="43">
        <v>1334882</v>
      </c>
      <c r="D33" s="43">
        <v>1418238</v>
      </c>
      <c r="E33" s="43">
        <v>1698901</v>
      </c>
      <c r="F33" s="43">
        <v>1675034</v>
      </c>
      <c r="G33" s="43">
        <v>1628707</v>
      </c>
      <c r="H33" s="43">
        <v>1893585</v>
      </c>
      <c r="I33" s="43">
        <v>1923176</v>
      </c>
      <c r="J33" s="43">
        <v>2425198</v>
      </c>
      <c r="K33" s="43">
        <v>2378112.72</v>
      </c>
      <c r="L33" s="43">
        <f>1903615+372630</f>
        <v>2276245</v>
      </c>
      <c r="M33" s="44">
        <v>1757671</v>
      </c>
      <c r="N33" s="31">
        <f>M33+310000</f>
        <v>2067671</v>
      </c>
      <c r="O33" s="43">
        <v>2400000</v>
      </c>
      <c r="P33" s="43">
        <v>1900000</v>
      </c>
      <c r="Q33" s="43">
        <v>1900000</v>
      </c>
      <c r="R33" s="142">
        <f>(P33-O33)/O33</f>
        <v>-0.20833333333333334</v>
      </c>
      <c r="S33" s="101">
        <f>(Q33-O33)/O33</f>
        <v>-0.20833333333333334</v>
      </c>
    </row>
    <row r="34" spans="1:19" ht="12.75">
      <c r="A34" s="41" t="s">
        <v>863</v>
      </c>
      <c r="B34" s="42">
        <v>31.41</v>
      </c>
      <c r="C34" s="43"/>
      <c r="D34" s="43"/>
      <c r="E34" s="43"/>
      <c r="F34" s="43"/>
      <c r="G34" s="43"/>
      <c r="H34" s="43"/>
      <c r="I34" s="43"/>
      <c r="J34" s="43"/>
      <c r="K34" s="43">
        <v>1010</v>
      </c>
      <c r="L34" s="43">
        <v>415</v>
      </c>
      <c r="M34" s="44">
        <f>39+55</f>
        <v>94</v>
      </c>
      <c r="N34" s="31">
        <v>100</v>
      </c>
      <c r="O34" s="43">
        <v>1000</v>
      </c>
      <c r="P34" s="43">
        <v>100</v>
      </c>
      <c r="Q34" s="43">
        <v>100</v>
      </c>
      <c r="R34" s="142">
        <f>(P34-O34)/O34</f>
        <v>-0.9</v>
      </c>
      <c r="S34" s="101"/>
    </row>
    <row r="35" spans="1:19" ht="12.75">
      <c r="A35" s="41" t="s">
        <v>886</v>
      </c>
      <c r="B35" s="42">
        <v>31.42</v>
      </c>
      <c r="C35" s="43">
        <v>63122</v>
      </c>
      <c r="D35" s="43">
        <v>67490</v>
      </c>
      <c r="E35" s="43">
        <v>71097</v>
      </c>
      <c r="F35" s="43">
        <v>70005</v>
      </c>
      <c r="G35" s="43">
        <v>57869</v>
      </c>
      <c r="H35" s="43">
        <v>62647</v>
      </c>
      <c r="I35" s="43">
        <f>50976+92+335+18+3813+500</f>
        <v>55734</v>
      </c>
      <c r="J35" s="43">
        <v>54847.3</v>
      </c>
      <c r="K35" s="43">
        <v>59732.45</v>
      </c>
      <c r="L35" s="43">
        <f>57935+6395</f>
        <v>64330</v>
      </c>
      <c r="M35" s="31">
        <v>56633</v>
      </c>
      <c r="N35" s="31">
        <f>(12/$M$2)*M35</f>
        <v>56633</v>
      </c>
      <c r="O35" s="43">
        <v>52000</v>
      </c>
      <c r="P35" s="43">
        <v>57000</v>
      </c>
      <c r="Q35" s="43">
        <v>57000</v>
      </c>
      <c r="R35" s="142">
        <f>(P35-O35)/O35</f>
        <v>0.09615384615384616</v>
      </c>
      <c r="S35" s="101">
        <f>(Q35-O35)/O35</f>
        <v>0.09615384615384616</v>
      </c>
    </row>
    <row r="36" spans="1:19" ht="12.75" hidden="1">
      <c r="A36" s="41" t="s">
        <v>119</v>
      </c>
      <c r="B36" s="42">
        <v>31.62</v>
      </c>
      <c r="C36" s="43">
        <v>98550</v>
      </c>
      <c r="D36" s="43">
        <v>134589</v>
      </c>
      <c r="E36" s="43">
        <v>22816</v>
      </c>
      <c r="F36" s="43">
        <v>51602</v>
      </c>
      <c r="G36" s="43"/>
      <c r="H36" s="43"/>
      <c r="I36" s="43"/>
      <c r="J36" s="43"/>
      <c r="K36" s="43"/>
      <c r="L36" s="43"/>
      <c r="M36" s="44"/>
      <c r="N36" s="31">
        <f>(12/$M$2)*M36</f>
        <v>0</v>
      </c>
      <c r="O36" s="43"/>
      <c r="P36" s="43"/>
      <c r="Q36" s="43"/>
      <c r="R36" s="142" t="e">
        <f>(P36-O36)/O36</f>
        <v>#DIV/0!</v>
      </c>
      <c r="S36" s="101"/>
    </row>
    <row r="37" spans="1:20" ht="12.75">
      <c r="A37" s="41" t="s">
        <v>887</v>
      </c>
      <c r="B37" s="42">
        <v>31.63</v>
      </c>
      <c r="C37" s="43">
        <v>16969</v>
      </c>
      <c r="D37" s="43">
        <v>18364</v>
      </c>
      <c r="E37" s="43">
        <v>20492</v>
      </c>
      <c r="F37" s="43">
        <v>21542</v>
      </c>
      <c r="G37" s="43">
        <v>24893</v>
      </c>
      <c r="H37" s="43">
        <v>24306</v>
      </c>
      <c r="I37" s="43">
        <v>27755</v>
      </c>
      <c r="J37" s="43">
        <v>25231</v>
      </c>
      <c r="K37" s="43">
        <v>25891</v>
      </c>
      <c r="L37" s="43">
        <v>22605</v>
      </c>
      <c r="M37" s="44">
        <v>26550</v>
      </c>
      <c r="N37" s="31">
        <v>26550</v>
      </c>
      <c r="O37" s="43">
        <v>26000</v>
      </c>
      <c r="P37" s="43">
        <v>27000</v>
      </c>
      <c r="Q37" s="43">
        <v>27000</v>
      </c>
      <c r="R37" s="142">
        <f>(P37-O37)/O37</f>
        <v>0.038461538461538464</v>
      </c>
      <c r="S37" s="101">
        <f>(Q37-O37)/O37</f>
        <v>0.038461538461538464</v>
      </c>
      <c r="T37" s="4"/>
    </row>
    <row r="38" spans="1:20" ht="12.75" hidden="1">
      <c r="A38" s="41" t="s">
        <v>888</v>
      </c>
      <c r="B38" s="42">
        <v>31.91</v>
      </c>
      <c r="C38" s="43">
        <v>60589</v>
      </c>
      <c r="D38" s="43">
        <v>53428</v>
      </c>
      <c r="E38" s="43">
        <v>8737</v>
      </c>
      <c r="F38" s="43"/>
      <c r="G38" s="43"/>
      <c r="H38" s="43"/>
      <c r="I38" s="43">
        <v>4080</v>
      </c>
      <c r="J38" s="43"/>
      <c r="K38" s="43"/>
      <c r="L38" s="43"/>
      <c r="N38" s="31"/>
      <c r="O38" s="43"/>
      <c r="P38" s="43"/>
      <c r="Q38" s="43"/>
      <c r="R38" s="142"/>
      <c r="S38" s="101"/>
      <c r="T38" s="4"/>
    </row>
    <row r="39" spans="1:19" ht="12.75">
      <c r="A39" s="41" t="s">
        <v>889</v>
      </c>
      <c r="B39" s="42">
        <v>31.911</v>
      </c>
      <c r="C39" s="43">
        <v>36564</v>
      </c>
      <c r="D39" s="43">
        <v>14046</v>
      </c>
      <c r="E39" s="43">
        <v>21744</v>
      </c>
      <c r="F39" s="43">
        <v>18800</v>
      </c>
      <c r="G39" s="43">
        <v>16472</v>
      </c>
      <c r="H39" s="43">
        <v>27434</v>
      </c>
      <c r="I39" s="43">
        <f>40617+4569</f>
        <v>45186</v>
      </c>
      <c r="J39" s="43">
        <v>36688.25</v>
      </c>
      <c r="K39" s="43">
        <v>28427.11</v>
      </c>
      <c r="L39" s="43">
        <v>26770</v>
      </c>
      <c r="M39" s="31">
        <v>25284</v>
      </c>
      <c r="N39" s="31">
        <v>25000</v>
      </c>
      <c r="O39" s="43">
        <v>42427</v>
      </c>
      <c r="P39" s="43">
        <v>25000</v>
      </c>
      <c r="Q39" s="43">
        <v>25000</v>
      </c>
      <c r="R39" s="142">
        <f aca="true" t="shared" si="4" ref="R39:R44">(P39-O39)/O39</f>
        <v>-0.41075258679614396</v>
      </c>
      <c r="S39" s="101">
        <f>(Q39-O39)/O39</f>
        <v>-0.41075258679614396</v>
      </c>
    </row>
    <row r="40" spans="1:19" ht="12.75" hidden="1">
      <c r="A40" s="41" t="s">
        <v>120</v>
      </c>
      <c r="B40" s="42">
        <v>31.9111</v>
      </c>
      <c r="C40" s="43">
        <v>3777</v>
      </c>
      <c r="D40" s="43">
        <v>34497</v>
      </c>
      <c r="E40" s="43">
        <v>22934</v>
      </c>
      <c r="F40" s="43"/>
      <c r="G40" s="43"/>
      <c r="H40" s="43"/>
      <c r="I40" s="43"/>
      <c r="J40" s="43"/>
      <c r="K40" s="43"/>
      <c r="L40" s="43"/>
      <c r="N40" s="31"/>
      <c r="O40" s="43"/>
      <c r="P40" s="43"/>
      <c r="Q40" s="43"/>
      <c r="R40" s="142" t="e">
        <f t="shared" si="4"/>
        <v>#DIV/0!</v>
      </c>
      <c r="S40" s="101"/>
    </row>
    <row r="41" spans="1:19" ht="12.75">
      <c r="A41" s="41" t="s">
        <v>890</v>
      </c>
      <c r="B41" s="42">
        <v>31.912</v>
      </c>
      <c r="C41" s="43"/>
      <c r="D41" s="43"/>
      <c r="E41" s="43">
        <v>24562</v>
      </c>
      <c r="F41" s="43">
        <v>8689</v>
      </c>
      <c r="G41" s="43">
        <v>1508</v>
      </c>
      <c r="H41" s="43">
        <v>5657</v>
      </c>
      <c r="I41" s="43">
        <f>2028+5530</f>
        <v>7558</v>
      </c>
      <c r="J41" s="43">
        <v>1213.75</v>
      </c>
      <c r="K41" s="43">
        <v>2663</v>
      </c>
      <c r="L41" s="43">
        <v>1121</v>
      </c>
      <c r="M41" s="44">
        <v>723</v>
      </c>
      <c r="N41" s="31">
        <v>723</v>
      </c>
      <c r="O41" s="43">
        <v>2000</v>
      </c>
      <c r="P41" s="43">
        <v>750</v>
      </c>
      <c r="Q41" s="43">
        <v>750</v>
      </c>
      <c r="R41" s="142">
        <f t="shared" si="4"/>
        <v>-0.625</v>
      </c>
      <c r="S41" s="101"/>
    </row>
    <row r="42" spans="1:19" ht="12.75">
      <c r="A42" s="41" t="s">
        <v>723</v>
      </c>
      <c r="B42" s="42">
        <v>31.9121</v>
      </c>
      <c r="C42" s="43"/>
      <c r="D42" s="43"/>
      <c r="E42" s="43">
        <v>18853</v>
      </c>
      <c r="F42" s="43">
        <v>34024</v>
      </c>
      <c r="G42" s="43">
        <v>31392</v>
      </c>
      <c r="H42" s="43">
        <v>56562</v>
      </c>
      <c r="I42" s="43">
        <v>74924</v>
      </c>
      <c r="J42" s="43">
        <v>60584.01</v>
      </c>
      <c r="K42" s="43">
        <v>51161</v>
      </c>
      <c r="L42" s="43">
        <v>59602</v>
      </c>
      <c r="M42" s="31">
        <v>67402</v>
      </c>
      <c r="N42" s="31">
        <v>67402</v>
      </c>
      <c r="O42" s="43">
        <v>60000</v>
      </c>
      <c r="P42" s="43">
        <v>65000</v>
      </c>
      <c r="Q42" s="43">
        <v>65000</v>
      </c>
      <c r="R42" s="142">
        <f t="shared" si="4"/>
        <v>0.08333333333333333</v>
      </c>
      <c r="S42" s="101">
        <f>(Q42-O42)/O42</f>
        <v>0.08333333333333333</v>
      </c>
    </row>
    <row r="43" spans="1:19" ht="12.75">
      <c r="A43" s="41" t="s">
        <v>899</v>
      </c>
      <c r="B43" s="42">
        <v>31.95</v>
      </c>
      <c r="C43" s="43">
        <v>2989</v>
      </c>
      <c r="D43" s="43">
        <v>1177</v>
      </c>
      <c r="E43" s="43">
        <v>2570</v>
      </c>
      <c r="F43" s="43">
        <v>2485</v>
      </c>
      <c r="G43" s="43">
        <v>1814</v>
      </c>
      <c r="H43" s="43">
        <v>2401</v>
      </c>
      <c r="I43" s="43">
        <f>3239+149</f>
        <v>3388</v>
      </c>
      <c r="J43" s="43">
        <v>1870</v>
      </c>
      <c r="K43" s="43">
        <v>1521.5</v>
      </c>
      <c r="L43" s="43">
        <v>943</v>
      </c>
      <c r="M43" s="31">
        <v>1623</v>
      </c>
      <c r="N43" s="31">
        <v>1623</v>
      </c>
      <c r="O43" s="43">
        <v>2000</v>
      </c>
      <c r="P43" s="43">
        <v>1600</v>
      </c>
      <c r="Q43" s="43">
        <v>1600</v>
      </c>
      <c r="R43" s="142">
        <f t="shared" si="4"/>
        <v>-0.2</v>
      </c>
      <c r="S43" s="101">
        <f>(Q43-O43)/O43</f>
        <v>-0.2</v>
      </c>
    </row>
    <row r="44" spans="1:19" ht="12.75">
      <c r="A44" s="41" t="s">
        <v>900</v>
      </c>
      <c r="B44" s="42">
        <v>32.11</v>
      </c>
      <c r="C44" s="43">
        <v>11825</v>
      </c>
      <c r="D44" s="43">
        <v>12900</v>
      </c>
      <c r="E44" s="43">
        <v>11600</v>
      </c>
      <c r="F44" s="43">
        <v>11750</v>
      </c>
      <c r="G44" s="43">
        <v>12700</v>
      </c>
      <c r="H44" s="43">
        <v>11700</v>
      </c>
      <c r="I44" s="43">
        <v>8400</v>
      </c>
      <c r="J44" s="43">
        <v>10400</v>
      </c>
      <c r="K44" s="43">
        <v>11900</v>
      </c>
      <c r="L44" s="43">
        <v>10750</v>
      </c>
      <c r="M44" s="31">
        <v>12550</v>
      </c>
      <c r="N44" s="31">
        <v>12600</v>
      </c>
      <c r="O44" s="43">
        <v>11000</v>
      </c>
      <c r="P44" s="43">
        <v>12500</v>
      </c>
      <c r="Q44" s="43">
        <v>12500</v>
      </c>
      <c r="R44" s="142">
        <f t="shared" si="4"/>
        <v>0.13636363636363635</v>
      </c>
      <c r="S44" s="101">
        <f>(Q44-O44)/O44</f>
        <v>0.13636363636363635</v>
      </c>
    </row>
    <row r="45" spans="1:19" ht="12.75" hidden="1">
      <c r="A45" s="41" t="s">
        <v>121</v>
      </c>
      <c r="B45" s="42">
        <v>32.2205</v>
      </c>
      <c r="C45" s="43">
        <v>175</v>
      </c>
      <c r="D45" s="43">
        <v>25</v>
      </c>
      <c r="E45" s="43"/>
      <c r="F45" s="43"/>
      <c r="G45" s="43">
        <v>75</v>
      </c>
      <c r="H45" s="43"/>
      <c r="I45" s="43">
        <v>5</v>
      </c>
      <c r="J45" s="43"/>
      <c r="K45" s="43"/>
      <c r="L45" s="43"/>
      <c r="N45" s="31"/>
      <c r="O45" s="43"/>
      <c r="P45" s="43"/>
      <c r="Q45" s="43"/>
      <c r="R45" s="142"/>
      <c r="S45" s="101"/>
    </row>
    <row r="46" spans="1:19" ht="12.75">
      <c r="A46" s="41" t="s">
        <v>19</v>
      </c>
      <c r="B46" s="42">
        <v>33.2202</v>
      </c>
      <c r="C46" s="43"/>
      <c r="D46" s="43"/>
      <c r="E46" s="43"/>
      <c r="F46" s="43"/>
      <c r="G46" s="43"/>
      <c r="H46" s="43"/>
      <c r="I46" s="43"/>
      <c r="J46" s="43"/>
      <c r="K46" s="43"/>
      <c r="L46" s="43">
        <v>900</v>
      </c>
      <c r="M46" s="22">
        <v>2050</v>
      </c>
      <c r="N46" s="31">
        <f aca="true" t="shared" si="5" ref="N46:N52">(12/$M$2)*M46</f>
        <v>2050</v>
      </c>
      <c r="O46" s="43">
        <v>1500</v>
      </c>
      <c r="P46" s="43">
        <v>2000</v>
      </c>
      <c r="Q46" s="43">
        <v>2000</v>
      </c>
      <c r="R46" s="142"/>
      <c r="S46" s="101"/>
    </row>
    <row r="47" spans="1:19" ht="12.75">
      <c r="A47" s="41" t="s">
        <v>958</v>
      </c>
      <c r="B47" s="42">
        <v>32.291</v>
      </c>
      <c r="C47" s="43"/>
      <c r="D47" s="43"/>
      <c r="E47" s="43"/>
      <c r="F47" s="43"/>
      <c r="G47" s="43"/>
      <c r="H47" s="43"/>
      <c r="I47" s="43"/>
      <c r="J47" s="43"/>
      <c r="K47" s="43"/>
      <c r="L47" s="43">
        <v>1242</v>
      </c>
      <c r="M47" s="22">
        <v>2000</v>
      </c>
      <c r="N47" s="31">
        <f t="shared" si="5"/>
        <v>2000</v>
      </c>
      <c r="O47" s="43">
        <v>1500</v>
      </c>
      <c r="P47" s="43">
        <v>2000</v>
      </c>
      <c r="Q47" s="43">
        <v>2000</v>
      </c>
      <c r="R47" s="142"/>
      <c r="S47" s="101"/>
    </row>
    <row r="48" spans="1:19" ht="12.75">
      <c r="A48" s="41" t="s">
        <v>901</v>
      </c>
      <c r="B48" s="42">
        <v>32.294</v>
      </c>
      <c r="C48" s="43">
        <v>1380</v>
      </c>
      <c r="D48" s="43">
        <v>1261</v>
      </c>
      <c r="E48" s="43">
        <v>1030</v>
      </c>
      <c r="F48" s="43">
        <v>905</v>
      </c>
      <c r="G48" s="43">
        <v>3995</v>
      </c>
      <c r="H48" s="43">
        <v>3325</v>
      </c>
      <c r="I48" s="43">
        <v>3475</v>
      </c>
      <c r="J48" s="43">
        <v>3500</v>
      </c>
      <c r="K48" s="43">
        <v>2894</v>
      </c>
      <c r="L48" s="43">
        <v>1900</v>
      </c>
      <c r="M48" s="31">
        <v>6200</v>
      </c>
      <c r="N48" s="31">
        <f t="shared" si="5"/>
        <v>6200</v>
      </c>
      <c r="O48" s="43">
        <v>3000</v>
      </c>
      <c r="P48" s="43">
        <v>6000</v>
      </c>
      <c r="Q48" s="43">
        <v>6000</v>
      </c>
      <c r="R48" s="142">
        <f aca="true" t="shared" si="6" ref="R48:R54">(P48-O48)/O48</f>
        <v>1</v>
      </c>
      <c r="S48" s="101">
        <f>(Q48-O48)/O48</f>
        <v>1</v>
      </c>
    </row>
    <row r="49" spans="1:20" ht="12.75" hidden="1">
      <c r="A49" s="45" t="s">
        <v>411</v>
      </c>
      <c r="B49" s="42">
        <v>32.299</v>
      </c>
      <c r="C49" s="43"/>
      <c r="D49" s="43"/>
      <c r="E49" s="43"/>
      <c r="F49" s="43">
        <v>5</v>
      </c>
      <c r="G49" s="43"/>
      <c r="H49" s="43"/>
      <c r="I49" s="43"/>
      <c r="J49" s="43"/>
      <c r="K49" s="43"/>
      <c r="L49" s="43"/>
      <c r="M49" s="44"/>
      <c r="N49" s="31">
        <f t="shared" si="5"/>
        <v>0</v>
      </c>
      <c r="O49" s="43"/>
      <c r="P49" s="43"/>
      <c r="Q49" s="43"/>
      <c r="R49" s="142" t="e">
        <f t="shared" si="6"/>
        <v>#DIV/0!</v>
      </c>
      <c r="S49" s="101"/>
      <c r="T49">
        <v>38.9093</v>
      </c>
    </row>
    <row r="50" spans="1:19" ht="12.75">
      <c r="A50" s="45" t="s">
        <v>526</v>
      </c>
      <c r="B50" s="42">
        <v>32.31</v>
      </c>
      <c r="C50" s="43"/>
      <c r="D50" s="43"/>
      <c r="E50" s="43"/>
      <c r="F50" s="43"/>
      <c r="G50" s="43">
        <v>5190</v>
      </c>
      <c r="H50" s="43">
        <v>5210</v>
      </c>
      <c r="I50" s="43">
        <v>6165</v>
      </c>
      <c r="J50" s="43">
        <v>6030</v>
      </c>
      <c r="K50" s="43">
        <v>6095</v>
      </c>
      <c r="L50" s="43">
        <v>4260</v>
      </c>
      <c r="M50" s="31">
        <v>4900</v>
      </c>
      <c r="N50" s="31">
        <f t="shared" si="5"/>
        <v>4900</v>
      </c>
      <c r="O50" s="43">
        <v>4500</v>
      </c>
      <c r="P50" s="43">
        <v>4900</v>
      </c>
      <c r="Q50" s="43">
        <v>4900</v>
      </c>
      <c r="R50" s="142">
        <f t="shared" si="6"/>
        <v>0.08888888888888889</v>
      </c>
      <c r="S50" s="101"/>
    </row>
    <row r="51" spans="1:19" ht="12.75">
      <c r="A51" s="41" t="s">
        <v>891</v>
      </c>
      <c r="B51" s="42">
        <v>32.43</v>
      </c>
      <c r="C51" s="43"/>
      <c r="D51" s="43"/>
      <c r="E51" s="43">
        <v>12217</v>
      </c>
      <c r="F51" s="43">
        <v>36584</v>
      </c>
      <c r="G51" s="43">
        <v>36851</v>
      </c>
      <c r="H51" s="43">
        <v>63268</v>
      </c>
      <c r="I51" s="43">
        <f>55164+1339</f>
        <v>56503</v>
      </c>
      <c r="J51" s="43">
        <v>40334</v>
      </c>
      <c r="K51" s="43">
        <v>38890.25</v>
      </c>
      <c r="L51" s="43">
        <v>43177</v>
      </c>
      <c r="M51" s="44">
        <v>39334</v>
      </c>
      <c r="N51" s="31">
        <f t="shared" si="5"/>
        <v>39334</v>
      </c>
      <c r="O51" s="43">
        <v>41000</v>
      </c>
      <c r="P51" s="43">
        <v>40000</v>
      </c>
      <c r="Q51" s="43">
        <v>40000</v>
      </c>
      <c r="R51" s="142">
        <f t="shared" si="6"/>
        <v>-0.024390243902439025</v>
      </c>
      <c r="S51" s="101">
        <f>(Q51-O51)/O51</f>
        <v>-0.024390243902439025</v>
      </c>
    </row>
    <row r="52" spans="1:19" ht="12.75" hidden="1">
      <c r="A52" s="45" t="s">
        <v>412</v>
      </c>
      <c r="B52" s="42">
        <v>33.1111</v>
      </c>
      <c r="C52" s="43"/>
      <c r="D52" s="43"/>
      <c r="E52" s="43">
        <v>3806</v>
      </c>
      <c r="F52" s="43"/>
      <c r="G52" s="43"/>
      <c r="H52" s="43"/>
      <c r="I52" s="43"/>
      <c r="J52" s="43"/>
      <c r="K52" s="43"/>
      <c r="L52" s="43"/>
      <c r="M52" s="44"/>
      <c r="N52" s="31">
        <f t="shared" si="5"/>
        <v>0</v>
      </c>
      <c r="O52" s="43"/>
      <c r="P52" s="43"/>
      <c r="Q52" s="43"/>
      <c r="R52" s="142" t="e">
        <f t="shared" si="6"/>
        <v>#DIV/0!</v>
      </c>
      <c r="S52" s="101"/>
    </row>
    <row r="53" spans="1:19" ht="12.75" hidden="1">
      <c r="A53" s="45" t="s">
        <v>518</v>
      </c>
      <c r="B53" s="42">
        <v>33.1151</v>
      </c>
      <c r="C53" s="43"/>
      <c r="D53" s="43"/>
      <c r="E53" s="43"/>
      <c r="F53" s="43"/>
      <c r="G53" s="43">
        <v>4990</v>
      </c>
      <c r="H53" s="43"/>
      <c r="I53" s="43"/>
      <c r="J53" s="43"/>
      <c r="K53" s="43"/>
      <c r="L53" s="43"/>
      <c r="M53" s="44"/>
      <c r="N53" s="31"/>
      <c r="O53" s="43"/>
      <c r="P53" s="43"/>
      <c r="Q53" s="43"/>
      <c r="R53" s="142" t="e">
        <f t="shared" si="6"/>
        <v>#DIV/0!</v>
      </c>
      <c r="S53" s="101"/>
    </row>
    <row r="54" spans="1:19" ht="12.75" hidden="1">
      <c r="A54" s="41" t="s">
        <v>122</v>
      </c>
      <c r="B54" s="42">
        <v>33.112</v>
      </c>
      <c r="C54" s="43">
        <v>19390</v>
      </c>
      <c r="D54" s="43">
        <v>10668</v>
      </c>
      <c r="E54" s="43">
        <v>17693</v>
      </c>
      <c r="F54" s="43">
        <v>10631</v>
      </c>
      <c r="G54" s="43"/>
      <c r="H54" s="43"/>
      <c r="I54" s="43"/>
      <c r="J54" s="43"/>
      <c r="K54" s="43"/>
      <c r="L54" s="43"/>
      <c r="N54" s="31">
        <f>(12/$M$2)*M54</f>
        <v>0</v>
      </c>
      <c r="O54" s="43"/>
      <c r="P54" s="43"/>
      <c r="Q54" s="43"/>
      <c r="R54" s="142" t="e">
        <f t="shared" si="6"/>
        <v>#DIV/0!</v>
      </c>
      <c r="S54" s="101"/>
    </row>
    <row r="55" spans="1:19" ht="12.75" hidden="1">
      <c r="A55" s="41" t="s">
        <v>628</v>
      </c>
      <c r="B55" s="42">
        <v>33.113</v>
      </c>
      <c r="C55" s="43"/>
      <c r="D55" s="43"/>
      <c r="E55" s="43"/>
      <c r="F55" s="43"/>
      <c r="G55" s="43"/>
      <c r="H55" s="43"/>
      <c r="I55" s="43">
        <v>82216</v>
      </c>
      <c r="J55" s="43"/>
      <c r="K55" s="43"/>
      <c r="L55" s="43"/>
      <c r="N55" s="31"/>
      <c r="O55" s="43"/>
      <c r="P55" s="43"/>
      <c r="Q55" s="43"/>
      <c r="R55" s="142"/>
      <c r="S55" s="101"/>
    </row>
    <row r="56" spans="1:19" ht="12.75" hidden="1">
      <c r="A56" s="41" t="s">
        <v>334</v>
      </c>
      <c r="B56" s="42">
        <v>33.1152</v>
      </c>
      <c r="C56" s="43"/>
      <c r="D56" s="43"/>
      <c r="E56" s="43">
        <v>6920</v>
      </c>
      <c r="F56" s="43"/>
      <c r="G56" s="43"/>
      <c r="H56" s="43"/>
      <c r="I56" s="43"/>
      <c r="J56" s="43"/>
      <c r="K56" s="43"/>
      <c r="L56" s="43"/>
      <c r="N56" s="31"/>
      <c r="O56" s="43"/>
      <c r="P56" s="43"/>
      <c r="Q56" s="43"/>
      <c r="R56" s="142" t="e">
        <f>(P56-O56)/O56</f>
        <v>#DIV/0!</v>
      </c>
      <c r="S56" s="101"/>
    </row>
    <row r="57" spans="1:19" ht="12.75">
      <c r="A57" s="41" t="s">
        <v>726</v>
      </c>
      <c r="B57" s="42">
        <v>33.1154</v>
      </c>
      <c r="C57" s="43"/>
      <c r="D57" s="43"/>
      <c r="E57" s="43"/>
      <c r="F57" s="43"/>
      <c r="G57" s="43"/>
      <c r="H57" s="43"/>
      <c r="I57" s="43">
        <v>3862</v>
      </c>
      <c r="J57" s="43">
        <v>11044</v>
      </c>
      <c r="K57" s="43"/>
      <c r="L57" s="43"/>
      <c r="M57" s="31"/>
      <c r="N57" s="31"/>
      <c r="O57" s="43"/>
      <c r="P57" s="43"/>
      <c r="Q57" s="43"/>
      <c r="R57" s="142"/>
      <c r="S57" s="101"/>
    </row>
    <row r="58" spans="1:19" ht="12.75">
      <c r="A58" s="41" t="s">
        <v>32</v>
      </c>
      <c r="B58" s="42">
        <v>33.1155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>
        <v>10980.8</v>
      </c>
      <c r="N58" s="31">
        <v>10981</v>
      </c>
      <c r="O58" s="43"/>
      <c r="P58" s="43"/>
      <c r="Q58" s="43"/>
      <c r="R58" s="142"/>
      <c r="S58" s="101"/>
    </row>
    <row r="59" spans="1:20" ht="12.75">
      <c r="A59" s="41" t="s">
        <v>1058</v>
      </c>
      <c r="B59" s="42">
        <v>33.126</v>
      </c>
      <c r="C59" s="43">
        <v>11861</v>
      </c>
      <c r="D59" s="43">
        <v>13945</v>
      </c>
      <c r="E59" s="43">
        <v>21822</v>
      </c>
      <c r="F59" s="43">
        <v>22239</v>
      </c>
      <c r="G59" s="43">
        <v>19224</v>
      </c>
      <c r="H59" s="43">
        <f>18331+6214</f>
        <v>24545</v>
      </c>
      <c r="I59" s="43">
        <v>18631</v>
      </c>
      <c r="J59" s="43">
        <v>29422</v>
      </c>
      <c r="K59" s="43">
        <v>30850</v>
      </c>
      <c r="L59" s="43">
        <v>30591</v>
      </c>
      <c r="M59" s="24">
        <v>33329</v>
      </c>
      <c r="N59" s="31">
        <v>35000</v>
      </c>
      <c r="O59" s="43">
        <v>35000</v>
      </c>
      <c r="P59" s="43">
        <v>30000</v>
      </c>
      <c r="Q59" s="43">
        <v>30000</v>
      </c>
      <c r="R59" s="142">
        <f>(P59-O59)/O59</f>
        <v>-0.14285714285714285</v>
      </c>
      <c r="S59" s="101">
        <f>(Q59-O59)/O59</f>
        <v>-0.14285714285714285</v>
      </c>
      <c r="T59" s="22" t="s">
        <v>1059</v>
      </c>
    </row>
    <row r="60" spans="1:19" ht="12.75">
      <c r="A60" s="41" t="s">
        <v>902</v>
      </c>
      <c r="B60" s="42">
        <v>33.331</v>
      </c>
      <c r="C60" s="43">
        <v>11435</v>
      </c>
      <c r="D60" s="43">
        <v>10544</v>
      </c>
      <c r="E60" s="43">
        <v>13089</v>
      </c>
      <c r="F60" s="43">
        <v>14649</v>
      </c>
      <c r="G60" s="43">
        <v>14651</v>
      </c>
      <c r="H60" s="43">
        <v>15576</v>
      </c>
      <c r="I60" s="43">
        <v>18704</v>
      </c>
      <c r="J60" s="43">
        <v>19685</v>
      </c>
      <c r="K60" s="43">
        <v>25434</v>
      </c>
      <c r="L60" s="43">
        <v>25950</v>
      </c>
      <c r="M60" s="31">
        <v>28429.75</v>
      </c>
      <c r="N60" s="31">
        <v>28430</v>
      </c>
      <c r="O60" s="43">
        <v>26000</v>
      </c>
      <c r="P60" s="43">
        <v>26000</v>
      </c>
      <c r="Q60" s="43">
        <v>26000</v>
      </c>
      <c r="R60" s="142">
        <f>(P60-O60)/O60</f>
        <v>0</v>
      </c>
      <c r="S60" s="101">
        <f>(Q60-O60)/O60</f>
        <v>0</v>
      </c>
    </row>
    <row r="61" spans="1:19" ht="12.75">
      <c r="A61" s="41" t="s">
        <v>903</v>
      </c>
      <c r="B61" s="42">
        <v>33.3</v>
      </c>
      <c r="C61" s="43"/>
      <c r="D61" s="43">
        <v>15820</v>
      </c>
      <c r="E61" s="43">
        <v>22648</v>
      </c>
      <c r="F61" s="43">
        <v>23824</v>
      </c>
      <c r="G61" s="43">
        <v>27280</v>
      </c>
      <c r="H61" s="43">
        <v>27980</v>
      </c>
      <c r="I61" s="43">
        <v>28597</v>
      </c>
      <c r="J61" s="43">
        <v>29078</v>
      </c>
      <c r="K61" s="43">
        <v>28929</v>
      </c>
      <c r="L61" s="43">
        <v>28577</v>
      </c>
      <c r="M61" s="24">
        <v>64344</v>
      </c>
      <c r="N61" s="31">
        <v>64344</v>
      </c>
      <c r="O61" s="43">
        <v>29000</v>
      </c>
      <c r="P61" s="43"/>
      <c r="Q61" s="43"/>
      <c r="R61" s="142">
        <f>(P61-O61)/O61</f>
        <v>-1</v>
      </c>
      <c r="S61" s="101">
        <f>(Q61-O61)/O61</f>
        <v>-1</v>
      </c>
    </row>
    <row r="62" spans="1:19" ht="12.75" hidden="1">
      <c r="A62" s="41" t="s">
        <v>904</v>
      </c>
      <c r="B62" s="42">
        <v>33.4111</v>
      </c>
      <c r="C62" s="43"/>
      <c r="D62" s="43"/>
      <c r="E62" s="43"/>
      <c r="F62" s="43">
        <v>1830</v>
      </c>
      <c r="G62" s="43">
        <v>4271</v>
      </c>
      <c r="H62" s="43">
        <v>2250</v>
      </c>
      <c r="I62" s="43">
        <f>910+50</f>
        <v>960</v>
      </c>
      <c r="J62" s="43">
        <v>5019</v>
      </c>
      <c r="K62" s="43"/>
      <c r="L62" s="43"/>
      <c r="M62" s="31"/>
      <c r="N62" s="31">
        <v>0</v>
      </c>
      <c r="O62" s="43"/>
      <c r="P62" s="43"/>
      <c r="Q62" s="43"/>
      <c r="R62" s="142" t="e">
        <f>(P62-O62)/O62</f>
        <v>#DIV/0!</v>
      </c>
      <c r="S62" s="101" t="s">
        <v>951</v>
      </c>
    </row>
    <row r="63" spans="1:19" ht="12.75" hidden="1">
      <c r="A63" s="41" t="s">
        <v>605</v>
      </c>
      <c r="B63" s="42">
        <v>33.4113</v>
      </c>
      <c r="C63" s="43"/>
      <c r="D63" s="43"/>
      <c r="E63" s="43"/>
      <c r="F63" s="43"/>
      <c r="G63" s="43"/>
      <c r="H63" s="43">
        <v>1600</v>
      </c>
      <c r="I63" s="43"/>
      <c r="J63" s="43"/>
      <c r="K63" s="43"/>
      <c r="L63" s="43"/>
      <c r="N63" s="31"/>
      <c r="O63" s="43"/>
      <c r="P63" s="43"/>
      <c r="Q63" s="43"/>
      <c r="R63" s="142"/>
      <c r="S63" s="101"/>
    </row>
    <row r="64" spans="1:19" ht="12.75" hidden="1">
      <c r="A64" s="41" t="s">
        <v>520</v>
      </c>
      <c r="B64" s="42">
        <v>33.4116</v>
      </c>
      <c r="C64" s="43"/>
      <c r="D64" s="43"/>
      <c r="E64" s="43"/>
      <c r="F64" s="43">
        <v>10000</v>
      </c>
      <c r="G64" s="43"/>
      <c r="H64" s="43"/>
      <c r="I64" s="43"/>
      <c r="J64" s="43"/>
      <c r="K64" s="43"/>
      <c r="L64" s="43"/>
      <c r="N64" s="31"/>
      <c r="O64" s="43"/>
      <c r="P64" s="43"/>
      <c r="Q64" s="43"/>
      <c r="R64" s="142" t="e">
        <f>(P64-O64)/O64</f>
        <v>#DIV/0!</v>
      </c>
      <c r="S64" s="101"/>
    </row>
    <row r="65" spans="1:19" ht="12.75" hidden="1">
      <c r="A65" s="41" t="s">
        <v>702</v>
      </c>
      <c r="B65" s="42">
        <v>33.4117</v>
      </c>
      <c r="C65" s="43"/>
      <c r="D65" s="43"/>
      <c r="E65" s="43"/>
      <c r="F65" s="43">
        <v>4000</v>
      </c>
      <c r="G65" s="43">
        <v>700</v>
      </c>
      <c r="H65" s="43"/>
      <c r="I65" s="43"/>
      <c r="J65" s="43"/>
      <c r="K65" s="43"/>
      <c r="L65" s="43"/>
      <c r="N65" s="31"/>
      <c r="O65" s="43"/>
      <c r="P65" s="43"/>
      <c r="Q65" s="43"/>
      <c r="R65" s="142" t="e">
        <f>(P65-O65)/O65</f>
        <v>#DIV/0!</v>
      </c>
      <c r="S65" s="101"/>
    </row>
    <row r="66" spans="1:19" ht="12.75" hidden="1">
      <c r="A66" s="41" t="s">
        <v>560</v>
      </c>
      <c r="B66" s="42">
        <v>33.4118</v>
      </c>
      <c r="C66" s="43"/>
      <c r="D66" s="43"/>
      <c r="E66" s="43"/>
      <c r="F66" s="43"/>
      <c r="G66" s="43"/>
      <c r="H66" s="43">
        <v>16498</v>
      </c>
      <c r="I66" s="43">
        <v>37841</v>
      </c>
      <c r="J66" s="43"/>
      <c r="K66" s="43"/>
      <c r="L66" s="43"/>
      <c r="N66" s="31"/>
      <c r="O66" s="43"/>
      <c r="P66" s="43"/>
      <c r="Q66" s="43"/>
      <c r="R66" s="142"/>
      <c r="S66" s="101"/>
    </row>
    <row r="67" spans="1:19" ht="12.75">
      <c r="A67" s="41" t="s">
        <v>1062</v>
      </c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N67" s="31"/>
      <c r="O67" s="43"/>
      <c r="P67" s="43">
        <v>110190</v>
      </c>
      <c r="Q67" s="43">
        <v>110190</v>
      </c>
      <c r="R67" s="142"/>
      <c r="S67" s="101"/>
    </row>
    <row r="68" spans="1:19" ht="12.75">
      <c r="A68" s="41" t="s">
        <v>1061</v>
      </c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31"/>
      <c r="O68" s="43"/>
      <c r="P68" s="43">
        <v>10000</v>
      </c>
      <c r="Q68" s="43">
        <v>10000</v>
      </c>
      <c r="R68" s="142"/>
      <c r="S68" s="101"/>
    </row>
    <row r="69" spans="1:19" ht="12.75">
      <c r="A69" s="48" t="s">
        <v>1060</v>
      </c>
      <c r="B69" s="42">
        <v>33.4119</v>
      </c>
      <c r="C69" s="43"/>
      <c r="D69" s="43"/>
      <c r="E69" s="43"/>
      <c r="F69" s="43"/>
      <c r="G69" s="43"/>
      <c r="H69" s="43">
        <f>9108+7468</f>
        <v>16576</v>
      </c>
      <c r="I69" s="43"/>
      <c r="J69" s="43">
        <v>44323.5</v>
      </c>
      <c r="K69" s="43">
        <v>61825.1</v>
      </c>
      <c r="L69" s="43">
        <v>38248</v>
      </c>
      <c r="M69" s="31">
        <v>28663</v>
      </c>
      <c r="N69" s="31">
        <v>30000</v>
      </c>
      <c r="O69" s="43">
        <v>40000</v>
      </c>
      <c r="P69" s="43">
        <v>40000</v>
      </c>
      <c r="Q69" s="43">
        <v>40000</v>
      </c>
      <c r="R69" s="142">
        <f>(P69-O69)/O69</f>
        <v>0</v>
      </c>
      <c r="S69" s="101"/>
    </row>
    <row r="70" spans="1:19" ht="12.75" hidden="1">
      <c r="A70" s="41" t="s">
        <v>629</v>
      </c>
      <c r="B70" s="42">
        <v>33.4121</v>
      </c>
      <c r="C70" s="43"/>
      <c r="D70" s="43"/>
      <c r="E70" s="43"/>
      <c r="F70" s="43"/>
      <c r="G70" s="43"/>
      <c r="H70" s="43"/>
      <c r="I70" s="43">
        <v>8800</v>
      </c>
      <c r="J70" s="43"/>
      <c r="K70" s="43"/>
      <c r="L70" s="43"/>
      <c r="N70" s="31"/>
      <c r="O70" s="43"/>
      <c r="P70" s="43"/>
      <c r="Q70" s="43"/>
      <c r="R70" s="142"/>
      <c r="S70" s="101"/>
    </row>
    <row r="71" spans="1:20" ht="12" customHeight="1">
      <c r="A71" s="41" t="s">
        <v>905</v>
      </c>
      <c r="B71" s="42">
        <v>33.4212</v>
      </c>
      <c r="C71" s="43">
        <v>12000</v>
      </c>
      <c r="D71" s="43">
        <v>12000</v>
      </c>
      <c r="E71" s="43">
        <v>12000</v>
      </c>
      <c r="F71" s="43">
        <v>12000</v>
      </c>
      <c r="G71" s="43">
        <v>12000</v>
      </c>
      <c r="H71" s="43">
        <f>13516+1229</f>
        <v>14745</v>
      </c>
      <c r="I71" s="43">
        <v>14599</v>
      </c>
      <c r="J71" s="43">
        <v>12398</v>
      </c>
      <c r="K71" s="43">
        <v>2968</v>
      </c>
      <c r="L71" s="43"/>
      <c r="M71" s="31"/>
      <c r="N71" s="31"/>
      <c r="O71" s="43"/>
      <c r="P71" s="43"/>
      <c r="Q71" s="43"/>
      <c r="R71" s="142" t="e">
        <f>(P71-O71)/O71</f>
        <v>#DIV/0!</v>
      </c>
      <c r="S71" s="101" t="e">
        <f>(Q71-O71)/O71</f>
        <v>#DIV/0!</v>
      </c>
      <c r="T71" s="22" t="s">
        <v>809</v>
      </c>
    </row>
    <row r="72" spans="1:19" ht="12.75" hidden="1">
      <c r="A72" s="41" t="s">
        <v>123</v>
      </c>
      <c r="B72" s="42">
        <v>33.4214</v>
      </c>
      <c r="C72" s="43">
        <v>720</v>
      </c>
      <c r="D72" s="43"/>
      <c r="E72" s="43"/>
      <c r="F72" s="43"/>
      <c r="G72" s="43"/>
      <c r="H72" s="43"/>
      <c r="I72" s="43"/>
      <c r="J72" s="43"/>
      <c r="K72" s="43"/>
      <c r="L72" s="43"/>
      <c r="N72" s="31"/>
      <c r="O72" s="43"/>
      <c r="P72" s="43"/>
      <c r="Q72" s="43"/>
      <c r="R72" s="142" t="e">
        <f>(P72-O72)/O72</f>
        <v>#DIV/0!</v>
      </c>
      <c r="S72" s="101"/>
    </row>
    <row r="73" spans="1:19" ht="12.75">
      <c r="A73" s="41" t="s">
        <v>906</v>
      </c>
      <c r="B73" s="42">
        <v>33.4215</v>
      </c>
      <c r="C73" s="43">
        <v>1768</v>
      </c>
      <c r="D73" s="43">
        <v>3102</v>
      </c>
      <c r="E73" s="43"/>
      <c r="F73" s="43">
        <v>3102</v>
      </c>
      <c r="G73" s="43">
        <v>3102</v>
      </c>
      <c r="H73" s="43">
        <v>3102</v>
      </c>
      <c r="I73" s="43">
        <v>6824</v>
      </c>
      <c r="J73" s="43"/>
      <c r="K73" s="43">
        <v>4963</v>
      </c>
      <c r="L73" s="43">
        <v>4963</v>
      </c>
      <c r="M73" s="22">
        <v>6899</v>
      </c>
      <c r="N73" s="43">
        <v>6899</v>
      </c>
      <c r="O73" s="43">
        <v>5000</v>
      </c>
      <c r="P73" s="43">
        <v>5000</v>
      </c>
      <c r="Q73" s="43">
        <v>5000</v>
      </c>
      <c r="R73" s="142">
        <f>(P73-O73)/O73</f>
        <v>0</v>
      </c>
      <c r="S73" s="101">
        <f>(Q73-O73)/O73</f>
        <v>0</v>
      </c>
    </row>
    <row r="74" spans="1:19" ht="12.75" hidden="1">
      <c r="A74" s="41" t="s">
        <v>521</v>
      </c>
      <c r="B74" s="42">
        <v>33.4311</v>
      </c>
      <c r="C74" s="43"/>
      <c r="D74" s="43"/>
      <c r="E74" s="43"/>
      <c r="F74" s="43">
        <v>8000</v>
      </c>
      <c r="G74" s="43"/>
      <c r="H74" s="43"/>
      <c r="I74" s="43"/>
      <c r="J74" s="43"/>
      <c r="K74" s="43"/>
      <c r="L74" s="43"/>
      <c r="N74" s="31"/>
      <c r="O74" s="43"/>
      <c r="P74" s="43"/>
      <c r="Q74" s="43"/>
      <c r="R74" s="142" t="e">
        <f>(P74-O74)/O74</f>
        <v>#DIV/0!</v>
      </c>
      <c r="S74" s="101"/>
    </row>
    <row r="75" spans="1:19" ht="12.75" hidden="1">
      <c r="A75" s="41" t="s">
        <v>98</v>
      </c>
      <c r="B75" s="42">
        <v>33.4216</v>
      </c>
      <c r="C75" s="43"/>
      <c r="D75" s="43"/>
      <c r="E75" s="43"/>
      <c r="F75" s="43"/>
      <c r="G75" s="43"/>
      <c r="H75" s="43"/>
      <c r="I75" s="43"/>
      <c r="J75" s="43"/>
      <c r="K75" s="43"/>
      <c r="L75" s="43">
        <v>10390</v>
      </c>
      <c r="N75" s="31"/>
      <c r="O75" s="43"/>
      <c r="P75" s="43"/>
      <c r="Q75" s="43"/>
      <c r="R75" s="142"/>
      <c r="S75" s="101"/>
    </row>
    <row r="76" spans="1:19" ht="12.75">
      <c r="A76" s="48" t="s">
        <v>631</v>
      </c>
      <c r="B76" s="42">
        <v>33.51</v>
      </c>
      <c r="C76" s="43"/>
      <c r="D76" s="43">
        <v>54909</v>
      </c>
      <c r="E76" s="43">
        <v>111010</v>
      </c>
      <c r="F76" s="43">
        <v>187975</v>
      </c>
      <c r="G76" s="43">
        <v>216356</v>
      </c>
      <c r="H76" s="43">
        <v>222574</v>
      </c>
      <c r="I76" s="43">
        <v>224765</v>
      </c>
      <c r="J76" s="43">
        <v>205474</v>
      </c>
      <c r="K76" s="43">
        <v>207572</v>
      </c>
      <c r="L76" s="43">
        <v>201681</v>
      </c>
      <c r="M76" s="31">
        <v>200067</v>
      </c>
      <c r="N76" s="31">
        <v>200000</v>
      </c>
      <c r="O76" s="43">
        <v>202000</v>
      </c>
      <c r="P76" s="43"/>
      <c r="Q76" s="43"/>
      <c r="R76" s="142">
        <f>(P76-O76)/O76</f>
        <v>-1</v>
      </c>
      <c r="S76" s="101">
        <f>(Q76-O76)/O76</f>
        <v>-1</v>
      </c>
    </row>
    <row r="77" spans="1:19" ht="12.75">
      <c r="A77" s="41" t="s">
        <v>798</v>
      </c>
      <c r="B77" s="42"/>
      <c r="C77" s="43"/>
      <c r="D77" s="43"/>
      <c r="E77" s="43"/>
      <c r="F77" s="43"/>
      <c r="G77" s="43"/>
      <c r="H77" s="43"/>
      <c r="I77" s="43"/>
      <c r="J77" s="43"/>
      <c r="K77" s="43">
        <v>450000</v>
      </c>
      <c r="L77" s="43">
        <v>10000</v>
      </c>
      <c r="M77" s="31"/>
      <c r="N77" s="31"/>
      <c r="O77" s="43"/>
      <c r="P77" s="43"/>
      <c r="Q77" s="43"/>
      <c r="R77" s="142" t="e">
        <f>(P77-O77)/O77</f>
        <v>#DIV/0!</v>
      </c>
      <c r="S77" s="101"/>
    </row>
    <row r="78" spans="1:19" ht="12.75">
      <c r="A78" s="41" t="s">
        <v>8</v>
      </c>
      <c r="B78" s="49">
        <v>33.4123</v>
      </c>
      <c r="C78" s="43"/>
      <c r="D78" s="43"/>
      <c r="E78" s="43"/>
      <c r="F78" s="43"/>
      <c r="G78" s="43"/>
      <c r="H78" s="43"/>
      <c r="I78" s="43"/>
      <c r="J78" s="43"/>
      <c r="K78" s="43"/>
      <c r="L78" s="43">
        <v>15000</v>
      </c>
      <c r="M78" s="31">
        <v>0</v>
      </c>
      <c r="N78" s="31"/>
      <c r="O78" s="43">
        <v>5000</v>
      </c>
      <c r="P78" s="43"/>
      <c r="Q78" s="43"/>
      <c r="R78" s="142"/>
      <c r="S78" s="101"/>
    </row>
    <row r="79" spans="1:19" ht="12.75">
      <c r="A79" s="41" t="s">
        <v>25</v>
      </c>
      <c r="B79" s="49">
        <v>33.4124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1">
        <v>0</v>
      </c>
      <c r="N79" s="31"/>
      <c r="O79" s="43">
        <v>10000</v>
      </c>
      <c r="P79" s="43"/>
      <c r="Q79" s="43"/>
      <c r="R79" s="142"/>
      <c r="S79" s="101"/>
    </row>
    <row r="80" spans="1:20" ht="12.75">
      <c r="A80" s="41" t="s">
        <v>630</v>
      </c>
      <c r="B80" s="42">
        <v>34.112</v>
      </c>
      <c r="C80" s="43"/>
      <c r="D80" s="43"/>
      <c r="E80" s="43">
        <v>5608</v>
      </c>
      <c r="F80" s="43">
        <v>6265</v>
      </c>
      <c r="G80" s="43">
        <v>5522</v>
      </c>
      <c r="H80" s="43">
        <v>7360</v>
      </c>
      <c r="I80" s="43">
        <v>8374</v>
      </c>
      <c r="J80" s="43">
        <v>8426</v>
      </c>
      <c r="K80" s="43">
        <v>7314</v>
      </c>
      <c r="L80" s="43">
        <v>429</v>
      </c>
      <c r="M80" s="31"/>
      <c r="N80" s="31"/>
      <c r="O80" s="43"/>
      <c r="P80" s="43"/>
      <c r="Q80" s="43"/>
      <c r="R80" s="142" t="e">
        <f>(P80-O80)/O80</f>
        <v>#DIV/0!</v>
      </c>
      <c r="S80" s="101" t="e">
        <f>(Q80-O80)/O80</f>
        <v>#DIV/0!</v>
      </c>
      <c r="T80" s="22" t="s">
        <v>26</v>
      </c>
    </row>
    <row r="81" spans="1:19" ht="12.75">
      <c r="A81" s="41" t="s">
        <v>527</v>
      </c>
      <c r="B81" s="42">
        <v>34.13</v>
      </c>
      <c r="C81" s="43"/>
      <c r="D81" s="43"/>
      <c r="E81" s="43"/>
      <c r="F81" s="43"/>
      <c r="G81" s="43">
        <v>3000</v>
      </c>
      <c r="H81" s="43"/>
      <c r="I81" s="43">
        <v>2000</v>
      </c>
      <c r="J81" s="43">
        <v>4500</v>
      </c>
      <c r="K81" s="43">
        <v>2500</v>
      </c>
      <c r="L81" s="43">
        <v>2100</v>
      </c>
      <c r="M81" s="31">
        <v>0</v>
      </c>
      <c r="N81" s="31"/>
      <c r="O81" s="43">
        <v>3000</v>
      </c>
      <c r="P81" s="43">
        <v>1000</v>
      </c>
      <c r="Q81" s="43">
        <v>1000</v>
      </c>
      <c r="R81" s="142">
        <f>(P81-O81)/O81</f>
        <v>-0.6666666666666666</v>
      </c>
      <c r="S81" s="101"/>
    </row>
    <row r="82" spans="1:19" ht="12.75">
      <c r="A82" s="41" t="s">
        <v>907</v>
      </c>
      <c r="B82" s="42">
        <v>34.1391</v>
      </c>
      <c r="C82" s="43"/>
      <c r="D82" s="43">
        <v>6821</v>
      </c>
      <c r="E82" s="43">
        <v>9926</v>
      </c>
      <c r="F82" s="43">
        <v>4892</v>
      </c>
      <c r="G82" s="43">
        <v>667</v>
      </c>
      <c r="H82" s="43">
        <v>10451</v>
      </c>
      <c r="I82" s="43">
        <f>8726+465</f>
        <v>9191</v>
      </c>
      <c r="J82" s="43">
        <v>5289</v>
      </c>
      <c r="K82" s="43">
        <v>2687</v>
      </c>
      <c r="L82" s="43">
        <f>8037+620</f>
        <v>8657</v>
      </c>
      <c r="M82" s="31">
        <v>6284</v>
      </c>
      <c r="N82" s="31">
        <v>6300</v>
      </c>
      <c r="O82" s="43">
        <v>6000</v>
      </c>
      <c r="P82" s="43">
        <v>6000</v>
      </c>
      <c r="Q82" s="43">
        <v>6000</v>
      </c>
      <c r="R82" s="142">
        <f>(P82-O82)/O82</f>
        <v>0</v>
      </c>
      <c r="S82" s="101">
        <f>(Q82-O82)/O82</f>
        <v>0</v>
      </c>
    </row>
    <row r="83" spans="1:19" ht="12.75">
      <c r="A83" s="41" t="s">
        <v>908</v>
      </c>
      <c r="B83" s="42">
        <v>34.191</v>
      </c>
      <c r="C83" s="43"/>
      <c r="D83" s="43">
        <v>5206</v>
      </c>
      <c r="E83" s="43"/>
      <c r="F83" s="43"/>
      <c r="G83" s="43"/>
      <c r="H83" s="43">
        <v>6790</v>
      </c>
      <c r="I83" s="43"/>
      <c r="J83" s="43">
        <v>549</v>
      </c>
      <c r="K83" s="43"/>
      <c r="L83" s="43"/>
      <c r="N83" s="31"/>
      <c r="O83" s="43"/>
      <c r="P83" s="43"/>
      <c r="Q83" s="43"/>
      <c r="R83" s="142"/>
      <c r="S83" s="101"/>
    </row>
    <row r="84" spans="1:19" ht="12.75">
      <c r="A84" s="41" t="s">
        <v>909</v>
      </c>
      <c r="B84" s="42">
        <v>34.193</v>
      </c>
      <c r="C84" s="43">
        <v>1005</v>
      </c>
      <c r="D84" s="43">
        <v>2080</v>
      </c>
      <c r="E84" s="43">
        <v>1291</v>
      </c>
      <c r="F84" s="43">
        <v>84</v>
      </c>
      <c r="G84" s="43">
        <v>143</v>
      </c>
      <c r="H84" s="43">
        <v>344</v>
      </c>
      <c r="I84" s="43">
        <v>2798</v>
      </c>
      <c r="J84" s="43">
        <v>847</v>
      </c>
      <c r="K84" s="43">
        <v>672</v>
      </c>
      <c r="L84" s="43">
        <v>437</v>
      </c>
      <c r="M84" s="31">
        <v>189</v>
      </c>
      <c r="N84" s="31">
        <f>(12/$M$2)*M84</f>
        <v>189</v>
      </c>
      <c r="O84" s="43">
        <v>750</v>
      </c>
      <c r="P84" s="43">
        <v>200</v>
      </c>
      <c r="Q84" s="43">
        <v>200</v>
      </c>
      <c r="R84" s="142">
        <f>(P84-O84)/O84</f>
        <v>-0.7333333333333333</v>
      </c>
      <c r="S84" s="101">
        <f>(Q84-O84)/O84</f>
        <v>-0.7333333333333333</v>
      </c>
    </row>
    <row r="85" spans="1:19" ht="12.75">
      <c r="A85" s="41" t="s">
        <v>910</v>
      </c>
      <c r="B85" s="42">
        <v>34.1935</v>
      </c>
      <c r="C85" s="43"/>
      <c r="D85" s="43"/>
      <c r="E85" s="43">
        <v>284</v>
      </c>
      <c r="F85" s="43">
        <v>325</v>
      </c>
      <c r="G85" s="43">
        <v>959</v>
      </c>
      <c r="H85" s="43">
        <f>601</f>
        <v>601</v>
      </c>
      <c r="I85" s="43">
        <v>843</v>
      </c>
      <c r="J85" s="43">
        <v>636</v>
      </c>
      <c r="K85" s="43">
        <v>1002</v>
      </c>
      <c r="L85" s="43">
        <v>412</v>
      </c>
      <c r="M85" s="31">
        <v>88</v>
      </c>
      <c r="N85" s="31">
        <f>(12/$M$2)*M85</f>
        <v>88</v>
      </c>
      <c r="O85" s="43">
        <v>1000</v>
      </c>
      <c r="P85" s="43">
        <v>100</v>
      </c>
      <c r="Q85" s="43">
        <v>100</v>
      </c>
      <c r="R85" s="142">
        <f>(P85-O85)/O85</f>
        <v>-0.9</v>
      </c>
      <c r="S85" s="101">
        <f>(Q85-O85)/O85</f>
        <v>-0.9</v>
      </c>
    </row>
    <row r="86" spans="1:19" ht="12.75">
      <c r="A86" s="41" t="s">
        <v>911</v>
      </c>
      <c r="B86" s="42">
        <v>34.233</v>
      </c>
      <c r="C86" s="43">
        <v>47940</v>
      </c>
      <c r="D86" s="43">
        <v>10885</v>
      </c>
      <c r="E86" s="43">
        <v>23906</v>
      </c>
      <c r="F86" s="43">
        <v>32819</v>
      </c>
      <c r="G86" s="43">
        <v>30690</v>
      </c>
      <c r="H86" s="43">
        <v>61460</v>
      </c>
      <c r="I86" s="43">
        <v>27915</v>
      </c>
      <c r="J86" s="43">
        <v>46840</v>
      </c>
      <c r="K86" s="43">
        <v>27276</v>
      </c>
      <c r="L86" s="43">
        <v>27712</v>
      </c>
      <c r="M86" s="31">
        <v>43239</v>
      </c>
      <c r="N86" s="31">
        <f>(12/$M$2)*M86</f>
        <v>43239</v>
      </c>
      <c r="O86" s="43">
        <v>28000</v>
      </c>
      <c r="P86" s="43">
        <v>40000</v>
      </c>
      <c r="Q86" s="43">
        <v>40000</v>
      </c>
      <c r="R86" s="142">
        <f>(P86-O86)/O86</f>
        <v>0.42857142857142855</v>
      </c>
      <c r="S86" s="101">
        <f>(Q86-O86)/O86</f>
        <v>0.42857142857142855</v>
      </c>
    </row>
    <row r="87" spans="1:19" ht="12.75">
      <c r="A87" s="41" t="s">
        <v>819</v>
      </c>
      <c r="B87" s="42">
        <v>34.2335</v>
      </c>
      <c r="C87" s="43"/>
      <c r="D87" s="43"/>
      <c r="E87" s="43"/>
      <c r="F87" s="43"/>
      <c r="G87" s="43"/>
      <c r="H87" s="43"/>
      <c r="I87" s="43"/>
      <c r="J87" s="43"/>
      <c r="K87" s="43">
        <v>13200</v>
      </c>
      <c r="L87" s="43">
        <v>800</v>
      </c>
      <c r="M87" s="31">
        <v>800</v>
      </c>
      <c r="N87" s="31">
        <v>800</v>
      </c>
      <c r="O87" s="43"/>
      <c r="P87" s="43">
        <v>800</v>
      </c>
      <c r="Q87" s="43">
        <v>800</v>
      </c>
      <c r="R87" s="142"/>
      <c r="S87" s="101"/>
    </row>
    <row r="88" spans="1:20" ht="12.75">
      <c r="A88" s="41" t="s">
        <v>912</v>
      </c>
      <c r="B88" s="42">
        <v>34.234</v>
      </c>
      <c r="C88" s="43">
        <v>14338</v>
      </c>
      <c r="D88" s="43">
        <v>16708</v>
      </c>
      <c r="E88" s="43">
        <v>9894</v>
      </c>
      <c r="F88" s="43">
        <v>20562</v>
      </c>
      <c r="G88" s="43">
        <v>28236</v>
      </c>
      <c r="H88" s="43">
        <v>28383</v>
      </c>
      <c r="I88" s="43">
        <v>21265</v>
      </c>
      <c r="J88" s="43">
        <v>30697.91</v>
      </c>
      <c r="K88" s="43">
        <v>20789.5</v>
      </c>
      <c r="L88" s="43">
        <f>9885+1200</f>
        <v>11085</v>
      </c>
      <c r="M88" s="31">
        <v>5265</v>
      </c>
      <c r="N88" s="31">
        <v>5265</v>
      </c>
      <c r="O88" s="43">
        <v>14000</v>
      </c>
      <c r="P88" s="43"/>
      <c r="Q88" s="43"/>
      <c r="R88" s="142">
        <f>(P88-O88)/O88</f>
        <v>-1</v>
      </c>
      <c r="S88" s="101">
        <f>(Q88-O88)/O88</f>
        <v>-1</v>
      </c>
      <c r="T88" s="49" t="s">
        <v>34</v>
      </c>
    </row>
    <row r="89" spans="1:20" ht="12.75">
      <c r="A89" s="41" t="s">
        <v>913</v>
      </c>
      <c r="B89" s="42">
        <v>34.26</v>
      </c>
      <c r="C89" s="43">
        <v>303986</v>
      </c>
      <c r="D89" s="43">
        <v>278843</v>
      </c>
      <c r="E89" s="43">
        <v>373359</v>
      </c>
      <c r="F89" s="43">
        <v>335216</v>
      </c>
      <c r="G89" s="43">
        <v>372944</v>
      </c>
      <c r="H89" s="43">
        <v>449612</v>
      </c>
      <c r="I89" s="43">
        <v>376838</v>
      </c>
      <c r="J89" s="43">
        <v>507965</v>
      </c>
      <c r="K89" s="43">
        <v>638191.03</v>
      </c>
      <c r="L89" s="43">
        <v>579209</v>
      </c>
      <c r="M89" s="31">
        <v>705481</v>
      </c>
      <c r="N89" s="31">
        <f>(12/$M$2)*M89</f>
        <v>705481</v>
      </c>
      <c r="O89" s="43">
        <v>638588</v>
      </c>
      <c r="P89" s="43">
        <v>650000</v>
      </c>
      <c r="Q89" s="43">
        <v>650000</v>
      </c>
      <c r="R89" s="142">
        <f>(P89-O89)/O89</f>
        <v>0.017870677181531753</v>
      </c>
      <c r="S89" s="101">
        <f>(Q89-O89)/O89</f>
        <v>0.017870677181531753</v>
      </c>
      <c r="T89" s="4"/>
    </row>
    <row r="90" spans="1:19" ht="12.75">
      <c r="A90" s="41" t="s">
        <v>914</v>
      </c>
      <c r="B90" s="42">
        <v>34.291</v>
      </c>
      <c r="C90" s="43">
        <v>11596</v>
      </c>
      <c r="D90" s="43">
        <v>12206</v>
      </c>
      <c r="E90" s="43">
        <v>21226</v>
      </c>
      <c r="F90" s="43">
        <v>18232</v>
      </c>
      <c r="G90" s="43">
        <v>23840</v>
      </c>
      <c r="H90" s="43">
        <v>24970</v>
      </c>
      <c r="I90" s="43">
        <v>25266</v>
      </c>
      <c r="J90" s="43">
        <v>29882</v>
      </c>
      <c r="K90" s="43">
        <v>31649</v>
      </c>
      <c r="L90" s="43">
        <v>38110</v>
      </c>
      <c r="M90" s="31">
        <v>40602</v>
      </c>
      <c r="N90" s="31">
        <f>(12/$M$2)*M90</f>
        <v>40602</v>
      </c>
      <c r="O90" s="43">
        <v>34000</v>
      </c>
      <c r="P90" s="43">
        <v>40000</v>
      </c>
      <c r="Q90" s="43">
        <v>40000</v>
      </c>
      <c r="R90" s="142">
        <f>(P90-O90)/O90</f>
        <v>0.17647058823529413</v>
      </c>
      <c r="S90" s="101">
        <f>(Q90-O90)/O90</f>
        <v>0.17647058823529413</v>
      </c>
    </row>
    <row r="91" spans="1:19" ht="12.75" hidden="1">
      <c r="A91" s="41"/>
      <c r="B91" s="42">
        <v>34.551</v>
      </c>
      <c r="C91" s="43"/>
      <c r="D91" s="43">
        <v>6575</v>
      </c>
      <c r="E91" s="43"/>
      <c r="F91" s="43">
        <v>16836</v>
      </c>
      <c r="G91" s="43"/>
      <c r="H91" s="43"/>
      <c r="I91" s="43"/>
      <c r="J91" s="43"/>
      <c r="K91" s="43"/>
      <c r="L91" s="43"/>
      <c r="N91" s="31">
        <f>(12/$M$2)*M91</f>
        <v>0</v>
      </c>
      <c r="O91" s="43"/>
      <c r="P91" s="43"/>
      <c r="Q91" s="43"/>
      <c r="R91" s="142" t="e">
        <f>(P91-O91)/O91</f>
        <v>#DIV/0!</v>
      </c>
      <c r="S91" s="101"/>
    </row>
    <row r="92" spans="1:19" ht="12.75">
      <c r="A92" s="41" t="s">
        <v>61</v>
      </c>
      <c r="B92" s="42">
        <v>34.292</v>
      </c>
      <c r="C92" s="43"/>
      <c r="D92" s="43"/>
      <c r="E92" s="43"/>
      <c r="F92" s="43"/>
      <c r="G92" s="43"/>
      <c r="H92" s="43"/>
      <c r="I92" s="43"/>
      <c r="J92" s="43"/>
      <c r="K92" s="43"/>
      <c r="L92" s="43">
        <v>2000</v>
      </c>
      <c r="M92" s="22">
        <v>1500</v>
      </c>
      <c r="N92" s="31">
        <v>1500</v>
      </c>
      <c r="O92" s="43"/>
      <c r="P92" s="43">
        <v>1000</v>
      </c>
      <c r="Q92" s="43">
        <v>1000</v>
      </c>
      <c r="R92" s="142"/>
      <c r="S92" s="101"/>
    </row>
    <row r="93" spans="1:19" ht="12.75">
      <c r="A93" s="48" t="s">
        <v>915</v>
      </c>
      <c r="B93" s="42">
        <v>34.551</v>
      </c>
      <c r="C93" s="43">
        <v>1973</v>
      </c>
      <c r="D93" s="43">
        <v>2219</v>
      </c>
      <c r="E93" s="43">
        <v>2448</v>
      </c>
      <c r="F93" s="43">
        <v>2068</v>
      </c>
      <c r="G93" s="43">
        <v>2829</v>
      </c>
      <c r="H93" s="43">
        <v>3422</v>
      </c>
      <c r="I93" s="43">
        <v>2193</v>
      </c>
      <c r="J93" s="43">
        <v>1319</v>
      </c>
      <c r="K93" s="43">
        <v>2437</v>
      </c>
      <c r="L93" s="43">
        <v>1516</v>
      </c>
      <c r="M93" s="44">
        <v>1255</v>
      </c>
      <c r="N93" s="31">
        <f>(12/$M$2)*M93</f>
        <v>1255</v>
      </c>
      <c r="O93" s="43">
        <v>1500</v>
      </c>
      <c r="P93" s="43">
        <v>1000</v>
      </c>
      <c r="Q93" s="43">
        <v>1000</v>
      </c>
      <c r="R93" s="142">
        <f>(P93-O93)/O93</f>
        <v>-0.3333333333333333</v>
      </c>
      <c r="S93" s="101">
        <f>(Q93-O93)/O93</f>
        <v>-0.3333333333333333</v>
      </c>
    </row>
    <row r="94" spans="1:19" ht="12.75" hidden="1">
      <c r="A94" s="41" t="s">
        <v>136</v>
      </c>
      <c r="B94" s="42">
        <v>34.72</v>
      </c>
      <c r="C94" s="43"/>
      <c r="D94" s="43"/>
      <c r="E94" s="43">
        <v>375</v>
      </c>
      <c r="F94" s="43"/>
      <c r="G94" s="43"/>
      <c r="H94" s="43"/>
      <c r="I94" s="43"/>
      <c r="J94" s="43"/>
      <c r="K94" s="43"/>
      <c r="L94" s="43"/>
      <c r="N94" s="31">
        <f>(12/$M$2)*M94</f>
        <v>0</v>
      </c>
      <c r="O94" s="43"/>
      <c r="P94" s="43"/>
      <c r="Q94" s="43"/>
      <c r="R94" s="142" t="e">
        <f>(P94-O94)/O94</f>
        <v>#DIV/0!</v>
      </c>
      <c r="S94" s="101"/>
    </row>
    <row r="95" spans="1:19" ht="12.75" hidden="1">
      <c r="A95" s="41" t="s">
        <v>125</v>
      </c>
      <c r="B95" s="42">
        <v>34.7205</v>
      </c>
      <c r="C95" s="43">
        <v>1251</v>
      </c>
      <c r="D95" s="43">
        <v>4165</v>
      </c>
      <c r="E95" s="43">
        <v>532</v>
      </c>
      <c r="F95" s="43">
        <v>277</v>
      </c>
      <c r="G95" s="43"/>
      <c r="H95" s="43">
        <v>998</v>
      </c>
      <c r="I95" s="43"/>
      <c r="J95" s="43"/>
      <c r="K95" s="43"/>
      <c r="L95" s="43"/>
      <c r="M95" s="44"/>
      <c r="N95" s="31"/>
      <c r="O95" s="43"/>
      <c r="P95" s="43"/>
      <c r="Q95" s="43"/>
      <c r="R95" s="142" t="e">
        <f>(P95-O95)/O95</f>
        <v>#DIV/0!</v>
      </c>
      <c r="S95" s="101"/>
    </row>
    <row r="96" spans="1:19" ht="12.75">
      <c r="A96" s="41" t="s">
        <v>916</v>
      </c>
      <c r="B96" s="42">
        <v>34.721</v>
      </c>
      <c r="C96" s="43">
        <v>1650</v>
      </c>
      <c r="D96" s="43">
        <v>1620</v>
      </c>
      <c r="E96" s="43">
        <v>970</v>
      </c>
      <c r="F96" s="43">
        <v>2030</v>
      </c>
      <c r="G96" s="43">
        <v>1365</v>
      </c>
      <c r="H96" s="43">
        <v>1305</v>
      </c>
      <c r="I96" s="43">
        <v>1925</v>
      </c>
      <c r="J96" s="43">
        <v>2540</v>
      </c>
      <c r="K96" s="43">
        <v>3546</v>
      </c>
      <c r="L96" s="43">
        <v>2645</v>
      </c>
      <c r="M96" s="31">
        <v>3488</v>
      </c>
      <c r="N96" s="31">
        <v>3500</v>
      </c>
      <c r="O96" s="43">
        <v>3000</v>
      </c>
      <c r="P96" s="43">
        <v>3000</v>
      </c>
      <c r="Q96" s="43">
        <v>3000</v>
      </c>
      <c r="R96" s="142">
        <f>(P96-O96)/O96</f>
        <v>0</v>
      </c>
      <c r="S96" s="101">
        <f>(Q96-O96)/O96</f>
        <v>0</v>
      </c>
    </row>
    <row r="97" spans="1:19" ht="12.75">
      <c r="A97" s="41" t="s">
        <v>917</v>
      </c>
      <c r="B97" s="42">
        <v>34.7212</v>
      </c>
      <c r="C97" s="43">
        <v>1295</v>
      </c>
      <c r="D97" s="43"/>
      <c r="E97" s="43">
        <v>597</v>
      </c>
      <c r="F97" s="43">
        <v>2759</v>
      </c>
      <c r="G97" s="43">
        <v>75</v>
      </c>
      <c r="H97" s="43"/>
      <c r="I97" s="43"/>
      <c r="J97" s="43"/>
      <c r="K97" s="43">
        <v>1050</v>
      </c>
      <c r="L97" s="43"/>
      <c r="M97" s="44">
        <v>0</v>
      </c>
      <c r="N97" s="31"/>
      <c r="O97" s="43">
        <v>1000</v>
      </c>
      <c r="P97" s="43"/>
      <c r="Q97" s="43"/>
      <c r="R97" s="142"/>
      <c r="S97" s="101"/>
    </row>
    <row r="98" spans="1:19" ht="12.75" hidden="1">
      <c r="A98" s="41" t="s">
        <v>126</v>
      </c>
      <c r="B98" s="42">
        <v>34.7214</v>
      </c>
      <c r="C98" s="43"/>
      <c r="D98" s="43"/>
      <c r="E98" s="43">
        <v>300</v>
      </c>
      <c r="F98" s="43"/>
      <c r="G98" s="43"/>
      <c r="H98" s="43"/>
      <c r="I98" s="43"/>
      <c r="J98" s="43"/>
      <c r="K98" s="43"/>
      <c r="L98" s="43"/>
      <c r="N98" s="31"/>
      <c r="O98" s="43"/>
      <c r="P98" s="43"/>
      <c r="Q98" s="43"/>
      <c r="R98" s="142" t="e">
        <f>(P98-O98)/O98</f>
        <v>#DIV/0!</v>
      </c>
      <c r="S98" s="101"/>
    </row>
    <row r="99" spans="1:19" ht="12.75">
      <c r="A99" s="41" t="s">
        <v>918</v>
      </c>
      <c r="B99" s="42">
        <v>34.731</v>
      </c>
      <c r="C99" s="43">
        <v>2200</v>
      </c>
      <c r="D99" s="43">
        <v>4254</v>
      </c>
      <c r="E99" s="43">
        <v>4234</v>
      </c>
      <c r="F99" s="43">
        <v>2673</v>
      </c>
      <c r="G99" s="43">
        <v>3479</v>
      </c>
      <c r="H99" s="43">
        <v>3785</v>
      </c>
      <c r="I99" s="43">
        <v>5391</v>
      </c>
      <c r="J99" s="43">
        <v>6709</v>
      </c>
      <c r="K99" s="43">
        <v>7277</v>
      </c>
      <c r="L99" s="43">
        <v>6983</v>
      </c>
      <c r="M99" s="31">
        <v>4359.4</v>
      </c>
      <c r="N99" s="31">
        <v>7000</v>
      </c>
      <c r="O99" s="43">
        <v>9000</v>
      </c>
      <c r="P99" s="43">
        <v>4500</v>
      </c>
      <c r="Q99" s="43">
        <v>4500</v>
      </c>
      <c r="R99" s="142">
        <f>(P99-O99)/O99</f>
        <v>-0.5</v>
      </c>
      <c r="S99" s="101">
        <f>(Q99-O99)/O99</f>
        <v>-0.5</v>
      </c>
    </row>
    <row r="100" spans="1:19" ht="12.75" hidden="1">
      <c r="A100" s="41" t="s">
        <v>522</v>
      </c>
      <c r="B100" s="42">
        <v>34.7312</v>
      </c>
      <c r="C100" s="43"/>
      <c r="D100" s="43"/>
      <c r="E100" s="43"/>
      <c r="F100" s="43">
        <v>1708</v>
      </c>
      <c r="G100" s="43"/>
      <c r="H100" s="43"/>
      <c r="I100" s="43"/>
      <c r="J100" s="43"/>
      <c r="K100" s="43"/>
      <c r="L100" s="43"/>
      <c r="M100" s="44"/>
      <c r="N100" s="31"/>
      <c r="O100" s="43"/>
      <c r="P100" s="43"/>
      <c r="Q100" s="43"/>
      <c r="R100" s="142" t="e">
        <f>(P100-O100)/O100</f>
        <v>#DIV/0!</v>
      </c>
      <c r="S100" s="101"/>
    </row>
    <row r="101" spans="1:19" ht="12.75">
      <c r="A101" s="45" t="s">
        <v>919</v>
      </c>
      <c r="B101" s="42">
        <v>34.7315</v>
      </c>
      <c r="C101" s="43"/>
      <c r="D101" s="43"/>
      <c r="E101" s="43"/>
      <c r="F101" s="43">
        <v>10185</v>
      </c>
      <c r="G101" s="43">
        <v>12638</v>
      </c>
      <c r="H101" s="43">
        <v>10915</v>
      </c>
      <c r="I101" s="43">
        <v>11235</v>
      </c>
      <c r="J101" s="43">
        <v>7804</v>
      </c>
      <c r="K101" s="43">
        <v>10904</v>
      </c>
      <c r="L101" s="43">
        <v>4360</v>
      </c>
      <c r="M101" s="31">
        <v>6031</v>
      </c>
      <c r="N101" s="31">
        <v>6031</v>
      </c>
      <c r="O101" s="43">
        <v>8000</v>
      </c>
      <c r="P101" s="43">
        <v>6000</v>
      </c>
      <c r="Q101" s="43">
        <v>6000</v>
      </c>
      <c r="R101" s="142">
        <f>(P101-O101)/O101</f>
        <v>-0.25</v>
      </c>
      <c r="S101" s="101">
        <f>(Q101-O101)/O101</f>
        <v>-0.25</v>
      </c>
    </row>
    <row r="102" spans="1:19" ht="12" customHeight="1">
      <c r="A102" s="45" t="s">
        <v>924</v>
      </c>
      <c r="B102" s="42">
        <v>34.7318</v>
      </c>
      <c r="C102" s="43"/>
      <c r="D102" s="43"/>
      <c r="E102" s="43"/>
      <c r="F102" s="43"/>
      <c r="G102" s="43"/>
      <c r="H102" s="43">
        <v>2750</v>
      </c>
      <c r="I102" s="43">
        <v>2072</v>
      </c>
      <c r="J102" s="43">
        <v>1709</v>
      </c>
      <c r="K102" s="43">
        <v>1366</v>
      </c>
      <c r="L102" s="43">
        <v>1050</v>
      </c>
      <c r="M102" s="44">
        <v>0</v>
      </c>
      <c r="N102" s="31"/>
      <c r="O102" s="43">
        <v>1700</v>
      </c>
      <c r="P102" s="43"/>
      <c r="Q102" s="43"/>
      <c r="R102" s="142">
        <f>(P102-O102)/O102</f>
        <v>-1</v>
      </c>
      <c r="S102" s="101"/>
    </row>
    <row r="103" spans="1:19" ht="12.75" hidden="1">
      <c r="A103" s="41" t="s">
        <v>923</v>
      </c>
      <c r="B103" s="42">
        <v>34.732</v>
      </c>
      <c r="C103" s="43">
        <v>497</v>
      </c>
      <c r="D103" s="43"/>
      <c r="E103" s="43"/>
      <c r="F103" s="43">
        <v>728</v>
      </c>
      <c r="G103" s="43"/>
      <c r="H103" s="43">
        <v>125</v>
      </c>
      <c r="I103" s="43"/>
      <c r="J103" s="43"/>
      <c r="K103" s="43"/>
      <c r="L103" s="43"/>
      <c r="M103" s="44"/>
      <c r="N103" s="31"/>
      <c r="O103" s="43"/>
      <c r="P103" s="43"/>
      <c r="Q103" s="43"/>
      <c r="R103" s="142"/>
      <c r="S103" s="101"/>
    </row>
    <row r="104" spans="1:19" ht="12.75" hidden="1">
      <c r="A104" s="41" t="s">
        <v>922</v>
      </c>
      <c r="B104" s="42">
        <v>34.733</v>
      </c>
      <c r="C104" s="43" t="s">
        <v>127</v>
      </c>
      <c r="D104" s="43">
        <v>900</v>
      </c>
      <c r="E104" s="43">
        <v>2056</v>
      </c>
      <c r="F104" s="43">
        <v>2337</v>
      </c>
      <c r="G104" s="43">
        <v>187</v>
      </c>
      <c r="H104" s="43"/>
      <c r="I104" s="43">
        <v>400</v>
      </c>
      <c r="J104" s="43"/>
      <c r="K104" s="43"/>
      <c r="L104" s="43"/>
      <c r="M104" s="44"/>
      <c r="N104" s="31"/>
      <c r="O104" s="43"/>
      <c r="P104" s="43"/>
      <c r="Q104" s="43"/>
      <c r="R104" s="142"/>
      <c r="S104" s="101"/>
    </row>
    <row r="105" spans="1:19" ht="12.75">
      <c r="A105" s="41" t="s">
        <v>921</v>
      </c>
      <c r="B105" s="42">
        <v>34.751</v>
      </c>
      <c r="C105" s="43">
        <v>10240</v>
      </c>
      <c r="D105" s="43">
        <v>10084</v>
      </c>
      <c r="E105" s="43">
        <v>1700</v>
      </c>
      <c r="F105" s="43">
        <v>9603</v>
      </c>
      <c r="G105" s="43">
        <v>10414</v>
      </c>
      <c r="H105" s="43">
        <v>11535</v>
      </c>
      <c r="I105" s="43">
        <v>8270</v>
      </c>
      <c r="J105" s="43">
        <v>10284</v>
      </c>
      <c r="K105" s="43">
        <v>10025</v>
      </c>
      <c r="L105" s="43">
        <v>8607</v>
      </c>
      <c r="M105" s="31">
        <v>6911</v>
      </c>
      <c r="N105" s="31">
        <v>6911</v>
      </c>
      <c r="O105" s="43">
        <v>9000</v>
      </c>
      <c r="P105" s="43">
        <v>7000</v>
      </c>
      <c r="Q105" s="43">
        <v>7000</v>
      </c>
      <c r="R105" s="142">
        <f>(P105-O105)/O105</f>
        <v>-0.2222222222222222</v>
      </c>
      <c r="S105" s="101">
        <f>(Q105-O105)/O105</f>
        <v>-0.2222222222222222</v>
      </c>
    </row>
    <row r="106" spans="1:19" ht="12.75">
      <c r="A106" s="41" t="s">
        <v>249</v>
      </c>
      <c r="B106" s="42">
        <v>34.7515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1">
        <v>1308</v>
      </c>
      <c r="N106" s="31">
        <v>1300</v>
      </c>
      <c r="O106" s="43"/>
      <c r="P106" s="43"/>
      <c r="Q106" s="43"/>
      <c r="R106" s="142"/>
      <c r="S106" s="101" t="s">
        <v>1030</v>
      </c>
    </row>
    <row r="107" spans="1:19" ht="12.75">
      <c r="A107" s="41" t="s">
        <v>920</v>
      </c>
      <c r="B107" s="42">
        <v>34.752</v>
      </c>
      <c r="C107" s="43">
        <v>3720</v>
      </c>
      <c r="D107" s="43">
        <v>3720</v>
      </c>
      <c r="E107" s="43">
        <v>3900</v>
      </c>
      <c r="F107" s="43">
        <v>4200</v>
      </c>
      <c r="G107" s="43">
        <v>3232</v>
      </c>
      <c r="H107" s="43">
        <v>3300</v>
      </c>
      <c r="I107" s="43">
        <v>3080</v>
      </c>
      <c r="J107" s="43">
        <v>2660</v>
      </c>
      <c r="K107" s="43">
        <v>2649</v>
      </c>
      <c r="L107" s="43">
        <v>2968</v>
      </c>
      <c r="M107" s="31">
        <v>2409</v>
      </c>
      <c r="N107" s="31">
        <v>2400</v>
      </c>
      <c r="O107" s="43">
        <v>4200</v>
      </c>
      <c r="P107" s="43">
        <v>2400</v>
      </c>
      <c r="Q107" s="43">
        <v>2400</v>
      </c>
      <c r="R107" s="142">
        <f>(P107-O107)/O107</f>
        <v>-0.42857142857142855</v>
      </c>
      <c r="S107" s="101">
        <f>(Q107-O107)/O107</f>
        <v>-0.42857142857142855</v>
      </c>
    </row>
    <row r="108" spans="1:19" ht="12.75">
      <c r="A108" s="45" t="s">
        <v>537</v>
      </c>
      <c r="B108" s="42">
        <v>34.753</v>
      </c>
      <c r="C108" s="43"/>
      <c r="D108" s="43"/>
      <c r="E108" s="43">
        <v>7280</v>
      </c>
      <c r="F108" s="43"/>
      <c r="G108" s="43">
        <v>260</v>
      </c>
      <c r="H108" s="43"/>
      <c r="I108" s="43">
        <v>2797</v>
      </c>
      <c r="J108" s="43"/>
      <c r="K108" s="43"/>
      <c r="L108" s="43"/>
      <c r="M108" s="22">
        <v>0</v>
      </c>
      <c r="N108" s="31"/>
      <c r="O108" s="43">
        <v>500</v>
      </c>
      <c r="P108" s="43"/>
      <c r="Q108" s="43"/>
      <c r="R108" s="142"/>
      <c r="S108" s="101"/>
    </row>
    <row r="109" spans="1:19" ht="12.75">
      <c r="A109" s="41" t="s">
        <v>925</v>
      </c>
      <c r="B109" s="42">
        <v>34.754</v>
      </c>
      <c r="C109" s="43">
        <v>3184</v>
      </c>
      <c r="D109" s="43">
        <v>1846</v>
      </c>
      <c r="E109" s="43">
        <v>944</v>
      </c>
      <c r="F109" s="43">
        <v>1955</v>
      </c>
      <c r="G109" s="43">
        <v>2600</v>
      </c>
      <c r="H109" s="43">
        <v>2185</v>
      </c>
      <c r="I109" s="43"/>
      <c r="J109" s="43">
        <v>801</v>
      </c>
      <c r="K109" s="43">
        <v>1308</v>
      </c>
      <c r="L109" s="43">
        <v>1396</v>
      </c>
      <c r="M109" s="22">
        <v>1803</v>
      </c>
      <c r="N109" s="31">
        <v>1803</v>
      </c>
      <c r="O109" s="43"/>
      <c r="P109" s="43">
        <v>1500</v>
      </c>
      <c r="Q109" s="43">
        <v>1500</v>
      </c>
      <c r="R109" s="142" t="e">
        <f aca="true" t="shared" si="7" ref="R109:R115">(P109-O109)/O109</f>
        <v>#DIV/0!</v>
      </c>
      <c r="S109" s="101" t="e">
        <f>(Q109-O109)/O109</f>
        <v>#DIV/0!</v>
      </c>
    </row>
    <row r="110" spans="1:19" ht="12.75" hidden="1">
      <c r="A110" s="45" t="s">
        <v>338</v>
      </c>
      <c r="B110" s="42">
        <v>34.755</v>
      </c>
      <c r="C110" s="43"/>
      <c r="D110" s="43"/>
      <c r="E110" s="43">
        <v>-105</v>
      </c>
      <c r="F110" s="43">
        <v>250</v>
      </c>
      <c r="G110" s="43"/>
      <c r="H110" s="43"/>
      <c r="I110" s="43"/>
      <c r="J110" s="43"/>
      <c r="K110" s="43"/>
      <c r="L110" s="43"/>
      <c r="N110" s="31"/>
      <c r="O110" s="43"/>
      <c r="P110" s="43"/>
      <c r="Q110" s="43"/>
      <c r="R110" s="142" t="e">
        <f t="shared" si="7"/>
        <v>#DIV/0!</v>
      </c>
      <c r="S110" s="101"/>
    </row>
    <row r="111" spans="1:19" ht="12.75" hidden="1">
      <c r="A111" s="45" t="s">
        <v>128</v>
      </c>
      <c r="B111" s="42">
        <v>34.756</v>
      </c>
      <c r="C111" s="43"/>
      <c r="D111" s="43"/>
      <c r="E111" s="43">
        <v>500</v>
      </c>
      <c r="F111" s="43"/>
      <c r="G111" s="43"/>
      <c r="H111" s="43"/>
      <c r="I111" s="43"/>
      <c r="J111" s="43"/>
      <c r="K111" s="43"/>
      <c r="L111" s="43"/>
      <c r="N111" s="31"/>
      <c r="O111" s="43"/>
      <c r="P111" s="43"/>
      <c r="Q111" s="43"/>
      <c r="R111" s="142" t="e">
        <f t="shared" si="7"/>
        <v>#DIV/0!</v>
      </c>
      <c r="S111" s="101"/>
    </row>
    <row r="112" spans="1:20" ht="12.75" hidden="1">
      <c r="A112" s="45" t="s">
        <v>523</v>
      </c>
      <c r="B112" s="42">
        <v>34.79</v>
      </c>
      <c r="C112" s="43"/>
      <c r="D112" s="43"/>
      <c r="E112" s="43"/>
      <c r="F112" s="43">
        <v>380</v>
      </c>
      <c r="G112" s="43"/>
      <c r="H112" s="43"/>
      <c r="I112" s="43"/>
      <c r="J112" s="43"/>
      <c r="K112" s="43"/>
      <c r="L112" s="43"/>
      <c r="N112" s="31"/>
      <c r="O112" s="43"/>
      <c r="P112" s="43"/>
      <c r="Q112" s="43"/>
      <c r="R112" s="142" t="e">
        <f t="shared" si="7"/>
        <v>#DIV/0!</v>
      </c>
      <c r="S112" s="101"/>
      <c r="T112" s="4">
        <v>35.113</v>
      </c>
    </row>
    <row r="113" spans="1:20" ht="12.75">
      <c r="A113" s="41" t="s">
        <v>926</v>
      </c>
      <c r="B113" s="42">
        <v>34.791</v>
      </c>
      <c r="C113" s="43">
        <v>4236</v>
      </c>
      <c r="D113" s="43">
        <v>7396</v>
      </c>
      <c r="E113" s="43">
        <v>6413</v>
      </c>
      <c r="F113" s="43">
        <v>5837</v>
      </c>
      <c r="G113" s="43">
        <v>8102</v>
      </c>
      <c r="H113" s="43">
        <v>7101</v>
      </c>
      <c r="I113" s="43">
        <v>12177</v>
      </c>
      <c r="J113" s="43">
        <v>10166</v>
      </c>
      <c r="K113" s="43">
        <v>9118</v>
      </c>
      <c r="L113" s="43">
        <v>9981</v>
      </c>
      <c r="M113" s="31">
        <v>4346.1</v>
      </c>
      <c r="N113" s="31">
        <v>4400</v>
      </c>
      <c r="O113" s="43">
        <v>10000</v>
      </c>
      <c r="P113" s="43">
        <v>4400</v>
      </c>
      <c r="Q113" s="43">
        <v>4400</v>
      </c>
      <c r="R113" s="142">
        <f t="shared" si="7"/>
        <v>-0.56</v>
      </c>
      <c r="S113" s="101">
        <f>(Q113-O113)/O113</f>
        <v>-0.56</v>
      </c>
      <c r="T113" s="4"/>
    </row>
    <row r="114" spans="1:20" ht="12.75">
      <c r="A114" s="41" t="s">
        <v>927</v>
      </c>
      <c r="B114" s="42">
        <v>34.792</v>
      </c>
      <c r="C114" s="43">
        <v>1739</v>
      </c>
      <c r="D114" s="43">
        <v>2200</v>
      </c>
      <c r="E114" s="43">
        <v>2330</v>
      </c>
      <c r="F114" s="43">
        <v>2525</v>
      </c>
      <c r="G114" s="43">
        <v>2300</v>
      </c>
      <c r="H114" s="43">
        <v>2050</v>
      </c>
      <c r="I114" s="43">
        <v>2072</v>
      </c>
      <c r="J114" s="43">
        <v>1185</v>
      </c>
      <c r="K114" s="43">
        <v>1645</v>
      </c>
      <c r="L114" s="43">
        <v>2542</v>
      </c>
      <c r="M114" s="31">
        <v>1100</v>
      </c>
      <c r="N114" s="31">
        <v>1100</v>
      </c>
      <c r="O114" s="43">
        <v>2700</v>
      </c>
      <c r="P114" s="43">
        <v>1100</v>
      </c>
      <c r="Q114" s="43">
        <v>1100</v>
      </c>
      <c r="R114" s="142">
        <f t="shared" si="7"/>
        <v>-0.5925925925925926</v>
      </c>
      <c r="S114" s="101">
        <f>(Q114-O114)/O114</f>
        <v>-0.5925925925925926</v>
      </c>
      <c r="T114" s="4"/>
    </row>
    <row r="115" spans="1:19" ht="12.75">
      <c r="A115" s="41" t="s">
        <v>928</v>
      </c>
      <c r="B115" s="42">
        <v>34.793</v>
      </c>
      <c r="C115" s="43">
        <v>3590</v>
      </c>
      <c r="D115" s="43">
        <v>3650</v>
      </c>
      <c r="E115" s="43">
        <v>1850</v>
      </c>
      <c r="F115" s="43">
        <v>3650</v>
      </c>
      <c r="G115" s="43">
        <v>3830</v>
      </c>
      <c r="H115" s="43">
        <v>1900</v>
      </c>
      <c r="I115" s="43">
        <v>8019</v>
      </c>
      <c r="J115" s="43">
        <v>6592</v>
      </c>
      <c r="K115" s="43">
        <v>5857</v>
      </c>
      <c r="L115" s="43">
        <v>6341</v>
      </c>
      <c r="M115" s="31">
        <v>1501</v>
      </c>
      <c r="N115" s="31">
        <v>5000</v>
      </c>
      <c r="O115" s="43">
        <v>6000</v>
      </c>
      <c r="P115" s="43">
        <v>1500</v>
      </c>
      <c r="Q115" s="43">
        <v>1500</v>
      </c>
      <c r="R115" s="142">
        <f t="shared" si="7"/>
        <v>-0.75</v>
      </c>
      <c r="S115" s="101">
        <f>(Q115-O115)/O115</f>
        <v>-0.75</v>
      </c>
    </row>
    <row r="116" spans="1:20" ht="12.75" hidden="1">
      <c r="A116" s="41" t="s">
        <v>622</v>
      </c>
      <c r="B116" s="42">
        <v>34.7935</v>
      </c>
      <c r="C116" s="43"/>
      <c r="D116" s="43"/>
      <c r="E116" s="43"/>
      <c r="F116" s="43"/>
      <c r="G116" s="43"/>
      <c r="H116" s="43">
        <v>25</v>
      </c>
      <c r="I116" s="43"/>
      <c r="J116" s="43"/>
      <c r="K116" s="43"/>
      <c r="L116" s="43"/>
      <c r="M116" s="44"/>
      <c r="N116" s="31"/>
      <c r="O116" s="43"/>
      <c r="P116" s="43"/>
      <c r="Q116" s="43"/>
      <c r="R116" s="142"/>
      <c r="S116" s="101"/>
      <c r="T116" s="4">
        <v>38.9053</v>
      </c>
    </row>
    <row r="117" spans="1:20" ht="12.75" hidden="1">
      <c r="A117" s="45" t="s">
        <v>413</v>
      </c>
      <c r="B117" s="42">
        <v>34.794</v>
      </c>
      <c r="C117" s="43"/>
      <c r="D117" s="43"/>
      <c r="F117" s="22">
        <v>424</v>
      </c>
      <c r="M117" s="43"/>
      <c r="N117" s="31">
        <f>(12/$M$2)*M117</f>
        <v>0</v>
      </c>
      <c r="O117" s="43"/>
      <c r="P117" s="43"/>
      <c r="Q117" s="43"/>
      <c r="R117" s="142" t="e">
        <f>(P117-O117)/O117</f>
        <v>#DIV/0!</v>
      </c>
      <c r="S117" s="101"/>
      <c r="T117" s="4">
        <v>38.9055</v>
      </c>
    </row>
    <row r="118" spans="1:20" ht="12.75" hidden="1">
      <c r="A118" s="45" t="s">
        <v>414</v>
      </c>
      <c r="B118" s="42">
        <v>34.9</v>
      </c>
      <c r="C118" s="43"/>
      <c r="D118" s="43"/>
      <c r="F118" s="22">
        <v>425</v>
      </c>
      <c r="M118" s="43"/>
      <c r="N118" s="31">
        <f>(12/$M$2)*M118</f>
        <v>0</v>
      </c>
      <c r="O118" s="43"/>
      <c r="P118" s="43"/>
      <c r="Q118" s="43"/>
      <c r="R118" s="142" t="e">
        <f>(P118-O118)/O118</f>
        <v>#DIV/0!</v>
      </c>
      <c r="S118" s="101"/>
      <c r="T118" s="4">
        <v>38.9057</v>
      </c>
    </row>
    <row r="119" spans="1:20" ht="12.75">
      <c r="A119" s="41" t="s">
        <v>929</v>
      </c>
      <c r="B119" s="42">
        <v>35.111</v>
      </c>
      <c r="C119" s="43">
        <v>158390</v>
      </c>
      <c r="D119" s="43">
        <v>143788</v>
      </c>
      <c r="E119" s="43">
        <v>221147</v>
      </c>
      <c r="F119" s="43">
        <v>175880</v>
      </c>
      <c r="G119" s="43">
        <v>219989</v>
      </c>
      <c r="H119" s="43">
        <f>235224+13317</f>
        <v>248541</v>
      </c>
      <c r="I119" s="43">
        <f>183667+30</f>
        <v>183697</v>
      </c>
      <c r="J119" s="43">
        <v>207484.05</v>
      </c>
      <c r="K119" s="43">
        <v>190034</v>
      </c>
      <c r="L119" s="43">
        <f>169720+13096</f>
        <v>182816</v>
      </c>
      <c r="M119" s="31">
        <v>135774</v>
      </c>
      <c r="N119" s="31">
        <f>(12/$M$2)*M119</f>
        <v>135774</v>
      </c>
      <c r="O119" s="43">
        <v>163000</v>
      </c>
      <c r="P119" s="43">
        <v>136000</v>
      </c>
      <c r="Q119" s="43">
        <v>136000</v>
      </c>
      <c r="R119" s="142">
        <f>(P119-O119)/O119</f>
        <v>-0.1656441717791411</v>
      </c>
      <c r="S119" s="101">
        <f>(Q119-O119)/O119</f>
        <v>-0.1656441717791411</v>
      </c>
      <c r="T119" s="4"/>
    </row>
    <row r="120" spans="1:19" ht="12.75">
      <c r="A120" s="41" t="s">
        <v>930</v>
      </c>
      <c r="B120" s="42">
        <v>35.113</v>
      </c>
      <c r="C120" s="43">
        <v>61288</v>
      </c>
      <c r="D120" s="43">
        <v>69440</v>
      </c>
      <c r="E120" s="43">
        <v>67907</v>
      </c>
      <c r="F120" s="43">
        <v>76448</v>
      </c>
      <c r="G120" s="43">
        <v>62421</v>
      </c>
      <c r="H120" s="43">
        <f>62128+8368</f>
        <v>70496</v>
      </c>
      <c r="I120" s="43">
        <v>68415</v>
      </c>
      <c r="J120" s="43">
        <v>62360</v>
      </c>
      <c r="K120" s="43">
        <v>84113</v>
      </c>
      <c r="L120" s="43">
        <v>71981</v>
      </c>
      <c r="M120" s="31">
        <v>76238</v>
      </c>
      <c r="N120" s="31">
        <f>(12/$M$2)*M120</f>
        <v>76238</v>
      </c>
      <c r="O120" s="43">
        <v>79870</v>
      </c>
      <c r="P120" s="43">
        <v>76000</v>
      </c>
      <c r="Q120" s="43">
        <v>76000</v>
      </c>
      <c r="R120" s="142">
        <f>(P120-O120)/O120</f>
        <v>-0.04845373732315012</v>
      </c>
      <c r="S120" s="101">
        <f>(Q120-O120)/O120</f>
        <v>-0.04845373732315012</v>
      </c>
    </row>
    <row r="121" spans="1:19" ht="12.75">
      <c r="A121" s="41" t="s">
        <v>931</v>
      </c>
      <c r="B121" s="42">
        <v>35.115</v>
      </c>
      <c r="C121" s="43">
        <v>118429</v>
      </c>
      <c r="D121" s="43">
        <v>114273</v>
      </c>
      <c r="E121" s="43">
        <v>119520</v>
      </c>
      <c r="F121" s="43">
        <v>118290</v>
      </c>
      <c r="G121" s="43">
        <v>131578</v>
      </c>
      <c r="H121" s="43">
        <f>141867+11304</f>
        <v>153171</v>
      </c>
      <c r="I121" s="43">
        <f>131729+13333</f>
        <v>145062</v>
      </c>
      <c r="J121" s="43">
        <v>195037.34</v>
      </c>
      <c r="K121" s="43">
        <v>200573</v>
      </c>
      <c r="L121" s="43">
        <f>204323+22920</f>
        <v>227243</v>
      </c>
      <c r="M121" s="31">
        <v>218674</v>
      </c>
      <c r="N121" s="31">
        <f>(12/$M$2)*M121+30000</f>
        <v>248674</v>
      </c>
      <c r="O121" s="43">
        <v>208143</v>
      </c>
      <c r="P121" s="43">
        <v>250000</v>
      </c>
      <c r="Q121" s="43">
        <v>250000</v>
      </c>
      <c r="R121" s="142">
        <f>(P121-O121)/O121</f>
        <v>0.20109732251384865</v>
      </c>
      <c r="S121" s="101">
        <f>(Q121-O121)/O121</f>
        <v>0.20109732251384865</v>
      </c>
    </row>
    <row r="122" spans="1:19" ht="12.75" hidden="1">
      <c r="A122" s="41" t="s">
        <v>606</v>
      </c>
      <c r="B122" s="42">
        <v>35.116</v>
      </c>
      <c r="C122" s="43"/>
      <c r="D122" s="43"/>
      <c r="E122" s="43"/>
      <c r="F122" s="43"/>
      <c r="G122" s="43"/>
      <c r="H122" s="43">
        <f>2655+353+353+353+1230</f>
        <v>4944</v>
      </c>
      <c r="I122" s="43">
        <f>822+353+353+353+353</f>
        <v>2234</v>
      </c>
      <c r="J122" s="43"/>
      <c r="K122" s="43"/>
      <c r="L122" s="43"/>
      <c r="M122" s="31"/>
      <c r="N122" s="31"/>
      <c r="O122" s="43"/>
      <c r="P122" s="43"/>
      <c r="Q122" s="43"/>
      <c r="R122" s="142"/>
      <c r="S122" s="101"/>
    </row>
    <row r="123" spans="1:19" ht="12.75">
      <c r="A123" s="41" t="s">
        <v>932</v>
      </c>
      <c r="B123" s="42">
        <v>36.1</v>
      </c>
      <c r="C123" s="43"/>
      <c r="D123" s="43"/>
      <c r="E123" s="43">
        <v>5303</v>
      </c>
      <c r="F123" s="43">
        <v>2554</v>
      </c>
      <c r="G123" s="43">
        <v>1896</v>
      </c>
      <c r="H123" s="43">
        <v>914</v>
      </c>
      <c r="I123" s="43">
        <v>2396</v>
      </c>
      <c r="J123" s="43">
        <v>7245</v>
      </c>
      <c r="K123" s="43">
        <v>9975</v>
      </c>
      <c r="L123" s="43">
        <f>5099+253</f>
        <v>5352</v>
      </c>
      <c r="M123" s="31">
        <v>549</v>
      </c>
      <c r="N123" s="31">
        <f>(12/$M$2)*M123</f>
        <v>549</v>
      </c>
      <c r="O123" s="43">
        <v>6700</v>
      </c>
      <c r="P123" s="43">
        <v>550</v>
      </c>
      <c r="Q123" s="43">
        <v>550</v>
      </c>
      <c r="R123" s="142">
        <f>(P123-O123)/O123</f>
        <v>-0.917910447761194</v>
      </c>
      <c r="S123" s="101"/>
    </row>
    <row r="124" spans="1:19" ht="12.75">
      <c r="A124" s="41" t="s">
        <v>35</v>
      </c>
      <c r="B124" s="42">
        <v>36.1105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31">
        <v>71</v>
      </c>
      <c r="N124" s="31">
        <v>200</v>
      </c>
      <c r="O124" s="43"/>
      <c r="P124" s="43"/>
      <c r="Q124" s="43"/>
      <c r="R124" s="142"/>
      <c r="S124" s="101"/>
    </row>
    <row r="125" spans="1:19" ht="12.75">
      <c r="A125" s="41" t="s">
        <v>933</v>
      </c>
      <c r="B125" s="42">
        <v>36.111</v>
      </c>
      <c r="C125" s="43">
        <v>74962</v>
      </c>
      <c r="D125" s="43">
        <v>117155</v>
      </c>
      <c r="E125" s="43">
        <v>139453</v>
      </c>
      <c r="F125" s="43">
        <v>62703</v>
      </c>
      <c r="G125" s="43">
        <v>39939</v>
      </c>
      <c r="H125" s="43">
        <v>40953</v>
      </c>
      <c r="I125" s="43">
        <v>91435</v>
      </c>
      <c r="J125" s="31">
        <f>3901.21+151024</f>
        <v>154925.21</v>
      </c>
      <c r="K125" s="31">
        <v>131952</v>
      </c>
      <c r="L125" s="31">
        <v>81636</v>
      </c>
      <c r="M125" s="44">
        <v>25803</v>
      </c>
      <c r="N125" s="31">
        <f>(12/$M$2)*M125</f>
        <v>25803</v>
      </c>
      <c r="O125" s="43">
        <v>87000</v>
      </c>
      <c r="P125" s="43">
        <v>26000</v>
      </c>
      <c r="Q125" s="43">
        <v>26000</v>
      </c>
      <c r="R125" s="142">
        <f>(P125-O125)/O125</f>
        <v>-0.7011494252873564</v>
      </c>
      <c r="S125" s="101">
        <f>(Q125-O125)/O125</f>
        <v>-0.7011494252873564</v>
      </c>
    </row>
    <row r="126" spans="1:19" ht="12.75">
      <c r="A126" s="41" t="s">
        <v>736</v>
      </c>
      <c r="B126" s="42">
        <v>36.1112</v>
      </c>
      <c r="C126" s="43"/>
      <c r="D126" s="43"/>
      <c r="E126" s="43"/>
      <c r="F126" s="43"/>
      <c r="G126" s="43"/>
      <c r="H126" s="43"/>
      <c r="I126" s="43"/>
      <c r="J126" s="43">
        <v>40456</v>
      </c>
      <c r="K126" s="43"/>
      <c r="L126" s="43"/>
      <c r="M126" s="31"/>
      <c r="N126" s="31"/>
      <c r="O126" s="43"/>
      <c r="P126" s="43"/>
      <c r="Q126" s="43"/>
      <c r="R126" s="142" t="e">
        <f>(P126-O126)/O126</f>
        <v>#DIV/0!</v>
      </c>
      <c r="S126" s="101"/>
    </row>
    <row r="127" spans="1:20" ht="12.75">
      <c r="A127" s="41" t="s">
        <v>934</v>
      </c>
      <c r="B127" s="42">
        <v>36.112</v>
      </c>
      <c r="C127" s="43">
        <v>31067</v>
      </c>
      <c r="D127" s="43">
        <v>51768</v>
      </c>
      <c r="E127" s="43">
        <v>37533</v>
      </c>
      <c r="F127" s="43">
        <v>15750</v>
      </c>
      <c r="G127" s="43">
        <v>8521</v>
      </c>
      <c r="H127" s="43">
        <v>10389</v>
      </c>
      <c r="I127" s="43">
        <v>22963</v>
      </c>
      <c r="J127" s="31">
        <f>10193.45+55102</f>
        <v>65295.45</v>
      </c>
      <c r="K127" s="31">
        <v>60560</v>
      </c>
      <c r="L127" s="31">
        <v>12148</v>
      </c>
      <c r="M127" s="31">
        <v>0</v>
      </c>
      <c r="N127" s="31">
        <f>(12/$M$2)*M127</f>
        <v>0</v>
      </c>
      <c r="O127" s="43">
        <v>20000</v>
      </c>
      <c r="P127" s="43"/>
      <c r="Q127" s="43"/>
      <c r="R127" s="142">
        <f>(P127-O127)/O127</f>
        <v>-1</v>
      </c>
      <c r="S127" s="101">
        <f>(Q127-O127)/O127</f>
        <v>-1</v>
      </c>
      <c r="T127" s="22" t="s">
        <v>75</v>
      </c>
    </row>
    <row r="128" spans="1:20" ht="12.75" hidden="1">
      <c r="A128" s="41" t="s">
        <v>129</v>
      </c>
      <c r="B128" s="42">
        <v>36.113</v>
      </c>
      <c r="C128" s="43">
        <v>15215</v>
      </c>
      <c r="D128" s="43">
        <v>22960</v>
      </c>
      <c r="E128" s="43">
        <v>17620</v>
      </c>
      <c r="F128" s="43">
        <v>6499</v>
      </c>
      <c r="G128" s="43">
        <v>2072</v>
      </c>
      <c r="H128" s="43">
        <v>1257</v>
      </c>
      <c r="I128" s="43"/>
      <c r="J128" s="43"/>
      <c r="K128" s="43"/>
      <c r="L128" s="43"/>
      <c r="M128" s="44"/>
      <c r="N128" s="31"/>
      <c r="O128" s="43"/>
      <c r="P128" s="43"/>
      <c r="Q128" s="43"/>
      <c r="R128" s="142"/>
      <c r="S128" s="101" t="e">
        <f>(Q128-O128)/O128</f>
        <v>#DIV/0!</v>
      </c>
      <c r="T128" s="22" t="s">
        <v>75</v>
      </c>
    </row>
    <row r="129" spans="1:19" ht="12.75" hidden="1">
      <c r="A129" s="41" t="s">
        <v>130</v>
      </c>
      <c r="B129" s="42">
        <v>36.114</v>
      </c>
      <c r="C129" s="43">
        <v>54</v>
      </c>
      <c r="D129" s="43">
        <v>102</v>
      </c>
      <c r="E129" s="43">
        <v>144</v>
      </c>
      <c r="F129" s="43">
        <v>143</v>
      </c>
      <c r="G129" s="43">
        <v>14</v>
      </c>
      <c r="H129" s="43"/>
      <c r="I129" s="43"/>
      <c r="J129" s="43"/>
      <c r="K129" s="43"/>
      <c r="L129" s="43"/>
      <c r="M129" s="44">
        <v>0.25</v>
      </c>
      <c r="N129" s="31"/>
      <c r="O129" s="43"/>
      <c r="P129" s="43"/>
      <c r="Q129" s="43"/>
      <c r="R129" s="142" t="e">
        <f>(P129-O129)/O129</f>
        <v>#DIV/0!</v>
      </c>
      <c r="S129" s="101"/>
    </row>
    <row r="130" spans="1:19" ht="12.75" hidden="1">
      <c r="A130" s="41" t="s">
        <v>131</v>
      </c>
      <c r="B130" s="42">
        <v>37.111</v>
      </c>
      <c r="C130" s="43"/>
      <c r="D130" s="43">
        <v>4185</v>
      </c>
      <c r="E130" s="43">
        <v>3825</v>
      </c>
      <c r="F130" s="43">
        <v>3757</v>
      </c>
      <c r="G130" s="43">
        <v>3645</v>
      </c>
      <c r="H130" s="43"/>
      <c r="I130" s="43"/>
      <c r="J130" s="43"/>
      <c r="K130" s="43"/>
      <c r="L130" s="43"/>
      <c r="M130" s="44"/>
      <c r="N130" s="31">
        <f>(12/$M$2)*M130</f>
        <v>0</v>
      </c>
      <c r="O130" s="43"/>
      <c r="P130" s="43"/>
      <c r="Q130" s="43"/>
      <c r="R130" s="142" t="e">
        <f>(P130-O130)/O130</f>
        <v>#DIV/0!</v>
      </c>
      <c r="S130" s="101"/>
    </row>
    <row r="131" spans="1:19" ht="12.75">
      <c r="A131" s="41" t="s">
        <v>935</v>
      </c>
      <c r="B131" s="42">
        <v>37.112</v>
      </c>
      <c r="C131" s="43">
        <v>200</v>
      </c>
      <c r="D131" s="43">
        <v>1565</v>
      </c>
      <c r="E131" s="43">
        <v>215</v>
      </c>
      <c r="F131" s="43">
        <v>56</v>
      </c>
      <c r="G131" s="43">
        <v>1049</v>
      </c>
      <c r="H131" s="43">
        <v>927</v>
      </c>
      <c r="I131" s="43">
        <v>55</v>
      </c>
      <c r="J131" s="43">
        <v>989</v>
      </c>
      <c r="K131" s="43">
        <v>-1088</v>
      </c>
      <c r="L131" s="43">
        <v>367</v>
      </c>
      <c r="M131" s="31">
        <v>-386</v>
      </c>
      <c r="N131" s="31">
        <v>-386</v>
      </c>
      <c r="O131" s="43"/>
      <c r="P131" s="43"/>
      <c r="Q131" s="43"/>
      <c r="R131" s="142" t="e">
        <f>(P131-O131)/O131</f>
        <v>#DIV/0!</v>
      </c>
      <c r="S131" s="101" t="e">
        <f>(Q131-O131)/O131</f>
        <v>#DIV/0!</v>
      </c>
    </row>
    <row r="132" spans="1:19" ht="12.75">
      <c r="A132" s="41" t="s">
        <v>936</v>
      </c>
      <c r="B132" s="42">
        <v>37.113</v>
      </c>
      <c r="C132" s="43">
        <v>1000</v>
      </c>
      <c r="D132" s="43">
        <v>5307</v>
      </c>
      <c r="E132" s="43"/>
      <c r="F132" s="43">
        <v>720</v>
      </c>
      <c r="G132" s="43">
        <v>1290</v>
      </c>
      <c r="H132" s="43"/>
      <c r="I132" s="43"/>
      <c r="J132" s="43">
        <v>502</v>
      </c>
      <c r="K132" s="43">
        <v>1050</v>
      </c>
      <c r="L132" s="43">
        <v>1702</v>
      </c>
      <c r="M132" s="31">
        <v>2578</v>
      </c>
      <c r="N132" s="31">
        <v>2578</v>
      </c>
      <c r="O132" s="43"/>
      <c r="P132" s="43"/>
      <c r="Q132" s="43"/>
      <c r="R132" s="142"/>
      <c r="S132" s="101"/>
    </row>
    <row r="133" spans="1:19" ht="12.75">
      <c r="A133" s="41" t="s">
        <v>937</v>
      </c>
      <c r="B133" s="42">
        <v>37.114</v>
      </c>
      <c r="C133" s="43">
        <v>536</v>
      </c>
      <c r="E133" s="43">
        <v>948</v>
      </c>
      <c r="F133" s="43"/>
      <c r="G133" s="43"/>
      <c r="H133" s="43">
        <v>700</v>
      </c>
      <c r="I133" s="43"/>
      <c r="J133" s="43">
        <v>303</v>
      </c>
      <c r="K133" s="43">
        <v>2052</v>
      </c>
      <c r="L133" s="43">
        <v>750</v>
      </c>
      <c r="M133" s="31"/>
      <c r="N133" s="31"/>
      <c r="O133" s="43"/>
      <c r="P133" s="43"/>
      <c r="Q133" s="43"/>
      <c r="R133" s="142"/>
      <c r="S133" s="101"/>
    </row>
    <row r="134" spans="1:19" ht="12.75">
      <c r="A134" s="22" t="s">
        <v>33</v>
      </c>
      <c r="B134" s="42">
        <v>37.1141</v>
      </c>
      <c r="C134" s="43"/>
      <c r="E134" s="43"/>
      <c r="F134" s="43"/>
      <c r="G134" s="43"/>
      <c r="H134" s="43"/>
      <c r="I134" s="43"/>
      <c r="J134" s="43"/>
      <c r="K134" s="43"/>
      <c r="L134" s="43"/>
      <c r="M134" s="31">
        <v>400</v>
      </c>
      <c r="N134" s="31">
        <v>400</v>
      </c>
      <c r="O134" s="43"/>
      <c r="P134" s="43"/>
      <c r="Q134" s="43"/>
      <c r="R134" s="142"/>
      <c r="S134" s="101"/>
    </row>
    <row r="135" spans="1:19" ht="12.75">
      <c r="A135" s="41" t="s">
        <v>820</v>
      </c>
      <c r="B135" s="42">
        <v>38.1</v>
      </c>
      <c r="C135" s="43"/>
      <c r="E135" s="43"/>
      <c r="F135" s="43"/>
      <c r="G135" s="43"/>
      <c r="H135" s="43"/>
      <c r="I135" s="43"/>
      <c r="J135" s="43"/>
      <c r="K135" s="43">
        <v>900</v>
      </c>
      <c r="L135" s="43"/>
      <c r="M135" s="31"/>
      <c r="N135" s="31"/>
      <c r="O135" s="43"/>
      <c r="P135" s="43"/>
      <c r="Q135" s="43"/>
      <c r="R135" s="142"/>
      <c r="S135" s="101"/>
    </row>
    <row r="136" spans="1:19" ht="12.75" hidden="1">
      <c r="A136" s="41" t="s">
        <v>132</v>
      </c>
      <c r="B136" s="42">
        <v>38.2</v>
      </c>
      <c r="C136" s="43">
        <v>5816</v>
      </c>
      <c r="D136" s="43">
        <v>13322</v>
      </c>
      <c r="E136" s="43">
        <v>5149</v>
      </c>
      <c r="F136" s="43">
        <v>18471</v>
      </c>
      <c r="G136" s="43">
        <v>3718</v>
      </c>
      <c r="H136" s="43">
        <v>617</v>
      </c>
      <c r="I136" s="43"/>
      <c r="J136" s="43"/>
      <c r="K136" s="43"/>
      <c r="L136" s="43"/>
      <c r="M136" s="44"/>
      <c r="N136" s="31"/>
      <c r="O136" s="43"/>
      <c r="P136" s="43"/>
      <c r="Q136" s="43"/>
      <c r="R136" s="142"/>
      <c r="S136" s="101"/>
    </row>
    <row r="137" spans="1:19" ht="12.75">
      <c r="A137" s="41" t="s">
        <v>938</v>
      </c>
      <c r="B137" s="42">
        <v>38.3</v>
      </c>
      <c r="C137" s="43"/>
      <c r="D137" s="43">
        <v>20188</v>
      </c>
      <c r="E137" s="43">
        <v>6483</v>
      </c>
      <c r="F137" s="43">
        <v>1755</v>
      </c>
      <c r="G137" s="43">
        <v>13638</v>
      </c>
      <c r="H137" s="43">
        <v>3869</v>
      </c>
      <c r="I137" s="43"/>
      <c r="J137" s="43">
        <v>14097</v>
      </c>
      <c r="K137" s="43">
        <v>1800</v>
      </c>
      <c r="L137" s="43">
        <v>42616</v>
      </c>
      <c r="M137" s="31">
        <v>0</v>
      </c>
      <c r="N137" s="31"/>
      <c r="O137" s="43">
        <v>5000</v>
      </c>
      <c r="P137" s="43"/>
      <c r="Q137" s="43"/>
      <c r="R137" s="142">
        <f>(P137-O137)/O137</f>
        <v>-1</v>
      </c>
      <c r="S137" s="101"/>
    </row>
    <row r="138" spans="1:19" ht="12.75" hidden="1">
      <c r="A138" s="41" t="s">
        <v>632</v>
      </c>
      <c r="B138" s="42">
        <v>38.3002</v>
      </c>
      <c r="C138" s="43"/>
      <c r="D138" s="43"/>
      <c r="E138" s="43"/>
      <c r="F138" s="43"/>
      <c r="G138" s="43"/>
      <c r="H138" s="43"/>
      <c r="I138" s="43">
        <v>108482</v>
      </c>
      <c r="J138" s="43"/>
      <c r="K138" s="43"/>
      <c r="L138" s="43"/>
      <c r="M138" s="24"/>
      <c r="N138" s="31"/>
      <c r="O138" s="43"/>
      <c r="P138" s="43"/>
      <c r="Q138" s="43"/>
      <c r="R138" s="142"/>
      <c r="S138" s="101"/>
    </row>
    <row r="139" spans="1:19" ht="12.75">
      <c r="A139" s="41" t="s">
        <v>939</v>
      </c>
      <c r="B139" s="42">
        <v>38.9</v>
      </c>
      <c r="C139" s="43">
        <v>1709</v>
      </c>
      <c r="D139" s="43">
        <v>4622</v>
      </c>
      <c r="E139" s="43">
        <v>6975</v>
      </c>
      <c r="F139" s="43">
        <v>1462</v>
      </c>
      <c r="G139" s="43">
        <v>3581</v>
      </c>
      <c r="H139" s="43">
        <v>1433</v>
      </c>
      <c r="I139" s="43">
        <v>7407</v>
      </c>
      <c r="J139" s="43">
        <v>8265</v>
      </c>
      <c r="K139" s="43">
        <v>13989</v>
      </c>
      <c r="L139" s="43">
        <v>27108</v>
      </c>
      <c r="M139" s="31">
        <v>16038</v>
      </c>
      <c r="N139" s="31">
        <f>(12/$M$2)*M139</f>
        <v>16038</v>
      </c>
      <c r="O139" s="43">
        <v>12000</v>
      </c>
      <c r="P139" s="43">
        <v>15000</v>
      </c>
      <c r="Q139" s="43">
        <v>15000</v>
      </c>
      <c r="R139" s="142">
        <f>(P139-O139)/O139</f>
        <v>0.25</v>
      </c>
      <c r="S139" s="101">
        <f>(Q139-O139)/O139</f>
        <v>0.25</v>
      </c>
    </row>
    <row r="140" spans="1:19" ht="12.75">
      <c r="A140" s="48" t="s">
        <v>940</v>
      </c>
      <c r="B140" s="42">
        <v>38.902</v>
      </c>
      <c r="C140" s="43">
        <v>14069</v>
      </c>
      <c r="D140" s="43">
        <v>12162</v>
      </c>
      <c r="E140" s="43">
        <v>12311</v>
      </c>
      <c r="F140" s="43">
        <v>8779</v>
      </c>
      <c r="G140" s="43">
        <v>8470</v>
      </c>
      <c r="H140" s="43">
        <v>9532</v>
      </c>
      <c r="I140" s="43">
        <v>9293</v>
      </c>
      <c r="J140" s="43">
        <v>7687</v>
      </c>
      <c r="K140" s="43">
        <v>9064</v>
      </c>
      <c r="L140" s="43">
        <v>8803</v>
      </c>
      <c r="M140" s="31">
        <v>11854</v>
      </c>
      <c r="N140" s="31">
        <f>(12/$M$2)*M140</f>
        <v>11854</v>
      </c>
      <c r="O140" s="55">
        <v>9000</v>
      </c>
      <c r="P140" s="43"/>
      <c r="Q140" s="43"/>
      <c r="R140" s="142">
        <f>(P140-O140)/O140</f>
        <v>-1</v>
      </c>
      <c r="S140" s="101">
        <f>(Q140-O140)/O140</f>
        <v>-1</v>
      </c>
    </row>
    <row r="141" spans="1:20" ht="12.75">
      <c r="A141" s="41" t="s">
        <v>422</v>
      </c>
      <c r="B141" s="42">
        <v>38.903</v>
      </c>
      <c r="C141" s="43"/>
      <c r="D141" s="43"/>
      <c r="E141" s="43"/>
      <c r="F141" s="43">
        <v>1200</v>
      </c>
      <c r="G141" s="43">
        <v>68481</v>
      </c>
      <c r="H141" s="43">
        <f>29333+5333</f>
        <v>34666</v>
      </c>
      <c r="I141" s="43">
        <f>32891+2883</f>
        <v>35774</v>
      </c>
      <c r="J141" s="43">
        <f>32891+2883</f>
        <v>35774</v>
      </c>
      <c r="K141" s="43">
        <v>39728</v>
      </c>
      <c r="L141" s="43">
        <f>32321+3591</f>
        <v>35912</v>
      </c>
      <c r="M141" s="31">
        <v>30941</v>
      </c>
      <c r="N141" s="31">
        <v>30941</v>
      </c>
      <c r="O141" s="43">
        <v>38000</v>
      </c>
      <c r="P141" s="43"/>
      <c r="Q141" s="43"/>
      <c r="R141" s="142">
        <f>(P141-O141)/O141</f>
        <v>-1</v>
      </c>
      <c r="S141" s="101">
        <f>(Q141-O141)/O141</f>
        <v>-1</v>
      </c>
      <c r="T141" s="22" t="s">
        <v>1028</v>
      </c>
    </row>
    <row r="142" spans="1:19" ht="12.75" hidden="1">
      <c r="A142" s="41" t="s">
        <v>607</v>
      </c>
      <c r="B142" s="42">
        <v>38.904</v>
      </c>
      <c r="C142" s="43">
        <v>981</v>
      </c>
      <c r="D142" s="43">
        <v>1615</v>
      </c>
      <c r="E142" s="43">
        <v>1254</v>
      </c>
      <c r="F142" s="43">
        <v>1157</v>
      </c>
      <c r="G142" s="43"/>
      <c r="H142" s="43"/>
      <c r="I142" s="43"/>
      <c r="J142" s="43"/>
      <c r="K142" s="43"/>
      <c r="L142" s="43"/>
      <c r="M142" s="44"/>
      <c r="N142" s="31">
        <f>(12/$M$2)*M142</f>
        <v>0</v>
      </c>
      <c r="O142" s="43"/>
      <c r="P142" s="43"/>
      <c r="Q142" s="43"/>
      <c r="R142" s="142" t="e">
        <f>(P142-O142)/O142</f>
        <v>#DIV/0!</v>
      </c>
      <c r="S142" s="101"/>
    </row>
    <row r="143" spans="1:19" ht="12.75" hidden="1">
      <c r="A143" s="41" t="s">
        <v>137</v>
      </c>
      <c r="B143" s="42">
        <v>38.905</v>
      </c>
      <c r="C143" s="43"/>
      <c r="D143" s="43"/>
      <c r="E143" s="43">
        <v>448</v>
      </c>
      <c r="F143" s="43">
        <v>777</v>
      </c>
      <c r="G143" s="43">
        <v>1291</v>
      </c>
      <c r="H143" s="43">
        <v>228</v>
      </c>
      <c r="I143" s="43"/>
      <c r="J143" s="43"/>
      <c r="K143" s="43"/>
      <c r="L143" s="43"/>
      <c r="M143" s="44"/>
      <c r="N143" s="31"/>
      <c r="O143" s="43"/>
      <c r="P143" s="43"/>
      <c r="Q143" s="43"/>
      <c r="R143" s="142"/>
      <c r="S143" s="101"/>
    </row>
    <row r="144" spans="1:20" ht="12.75">
      <c r="A144" s="48" t="s">
        <v>941</v>
      </c>
      <c r="B144" s="42">
        <v>38.9051</v>
      </c>
      <c r="C144" s="43"/>
      <c r="D144" s="43"/>
      <c r="E144" s="43">
        <v>51000</v>
      </c>
      <c r="F144" s="43">
        <v>51000</v>
      </c>
      <c r="G144" s="43">
        <v>51000</v>
      </c>
      <c r="H144" s="43">
        <v>51000</v>
      </c>
      <c r="I144" s="43">
        <f>38250+12500</f>
        <v>50750</v>
      </c>
      <c r="J144" s="43">
        <v>52060</v>
      </c>
      <c r="K144" s="43">
        <v>52169</v>
      </c>
      <c r="L144" s="43">
        <v>38250</v>
      </c>
      <c r="M144" s="31">
        <v>12750</v>
      </c>
      <c r="N144" s="31">
        <v>12750</v>
      </c>
      <c r="O144" s="43">
        <v>52000</v>
      </c>
      <c r="P144" s="43">
        <v>0</v>
      </c>
      <c r="Q144" s="43">
        <v>0</v>
      </c>
      <c r="R144" s="142">
        <f>(P144-O144)/O144</f>
        <v>-1</v>
      </c>
      <c r="S144" s="101">
        <f>(Q144-O144)/O144</f>
        <v>-1</v>
      </c>
      <c r="T144" s="22" t="s">
        <v>73</v>
      </c>
    </row>
    <row r="145" spans="1:19" ht="12.75" hidden="1">
      <c r="A145" s="41" t="s">
        <v>135</v>
      </c>
      <c r="B145" s="42">
        <v>38.9052</v>
      </c>
      <c r="C145" s="43">
        <v>2385</v>
      </c>
      <c r="D145" s="43">
        <v>3763</v>
      </c>
      <c r="E145" s="43">
        <v>2968</v>
      </c>
      <c r="F145" s="43">
        <v>1597</v>
      </c>
      <c r="G145" s="43">
        <v>3059</v>
      </c>
      <c r="H145" s="43">
        <v>939</v>
      </c>
      <c r="I145" s="43"/>
      <c r="J145" s="43"/>
      <c r="K145" s="43"/>
      <c r="L145" s="43"/>
      <c r="M145" s="44"/>
      <c r="N145" s="31"/>
      <c r="O145" s="43"/>
      <c r="P145" s="43"/>
      <c r="Q145" s="43"/>
      <c r="R145" s="142"/>
      <c r="S145" s="101"/>
    </row>
    <row r="146" spans="1:19" ht="12.75">
      <c r="A146" s="41" t="s">
        <v>942</v>
      </c>
      <c r="B146" s="42">
        <v>38.9053</v>
      </c>
      <c r="C146" s="43">
        <v>4689</v>
      </c>
      <c r="D146" s="43">
        <v>7748</v>
      </c>
      <c r="E146" s="43">
        <v>8309</v>
      </c>
      <c r="F146" s="43">
        <v>7400</v>
      </c>
      <c r="G146" s="43">
        <v>9971</v>
      </c>
      <c r="H146" s="43">
        <f>11582+1358+1325</f>
        <v>14265</v>
      </c>
      <c r="I146" s="43">
        <f>18744+1887</f>
        <v>20631</v>
      </c>
      <c r="J146" s="43">
        <v>29877</v>
      </c>
      <c r="K146" s="43">
        <v>28326</v>
      </c>
      <c r="L146" s="43">
        <v>33785</v>
      </c>
      <c r="M146" s="31">
        <v>17312</v>
      </c>
      <c r="N146" s="31">
        <f>(12/$M$2)*M146</f>
        <v>17312</v>
      </c>
      <c r="O146" s="43">
        <v>30000</v>
      </c>
      <c r="P146" s="43">
        <v>20000</v>
      </c>
      <c r="Q146" s="43">
        <v>20000</v>
      </c>
      <c r="R146" s="142">
        <f>(P146-O146)/O146</f>
        <v>-0.3333333333333333</v>
      </c>
      <c r="S146" s="101">
        <f>(Q146-O146)/O146</f>
        <v>-0.3333333333333333</v>
      </c>
    </row>
    <row r="147" spans="1:19" ht="12.75" hidden="1">
      <c r="A147" s="41" t="s">
        <v>336</v>
      </c>
      <c r="B147" s="42">
        <v>38.9054</v>
      </c>
      <c r="C147" s="43">
        <v>50</v>
      </c>
      <c r="D147" s="43">
        <v>137</v>
      </c>
      <c r="E147" s="43">
        <v>132</v>
      </c>
      <c r="F147" s="43">
        <v>200</v>
      </c>
      <c r="G147" s="43">
        <v>63</v>
      </c>
      <c r="H147" s="43"/>
      <c r="I147" s="43"/>
      <c r="J147" s="43"/>
      <c r="K147" s="43"/>
      <c r="L147" s="43"/>
      <c r="M147" s="44"/>
      <c r="N147" s="31"/>
      <c r="O147" s="43"/>
      <c r="P147" s="43"/>
      <c r="Q147" s="43"/>
      <c r="R147" s="142" t="e">
        <f>(P147-O147)/O147</f>
        <v>#DIV/0!</v>
      </c>
      <c r="S147" s="101"/>
    </row>
    <row r="148" spans="1:19" ht="12.75">
      <c r="A148" s="41" t="s">
        <v>860</v>
      </c>
      <c r="B148" s="42">
        <v>38.9045</v>
      </c>
      <c r="C148" s="43"/>
      <c r="D148" s="43"/>
      <c r="E148" s="43"/>
      <c r="F148" s="43"/>
      <c r="G148" s="43"/>
      <c r="H148" s="43"/>
      <c r="I148" s="43"/>
      <c r="J148" s="43"/>
      <c r="K148" s="43">
        <v>3300</v>
      </c>
      <c r="L148" s="43">
        <v>3000</v>
      </c>
      <c r="M148" s="44"/>
      <c r="N148" s="31">
        <v>0</v>
      </c>
      <c r="O148" s="43"/>
      <c r="P148" s="43">
        <v>3300</v>
      </c>
      <c r="Q148" s="43">
        <v>3300</v>
      </c>
      <c r="R148" s="142"/>
      <c r="S148" s="101"/>
    </row>
    <row r="149" spans="1:19" ht="12.75">
      <c r="A149" s="22" t="s">
        <v>62</v>
      </c>
      <c r="B149" s="169">
        <v>38.9051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>
        <v>402</v>
      </c>
      <c r="M149" s="44"/>
      <c r="N149" s="31"/>
      <c r="O149" s="43"/>
      <c r="P149" s="43"/>
      <c r="Q149" s="43"/>
      <c r="R149" s="142"/>
      <c r="S149" s="101"/>
    </row>
    <row r="150" spans="1:19" ht="12.75">
      <c r="A150" s="41" t="s">
        <v>959</v>
      </c>
      <c r="B150" s="42">
        <v>38.9055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>
        <v>5786</v>
      </c>
      <c r="M150" s="44">
        <v>4327</v>
      </c>
      <c r="N150" s="31">
        <v>5000</v>
      </c>
      <c r="O150" s="43"/>
      <c r="P150" s="43">
        <v>5000</v>
      </c>
      <c r="Q150" s="43">
        <v>5000</v>
      </c>
      <c r="R150" s="142"/>
      <c r="S150" s="101"/>
    </row>
    <row r="151" spans="1:20" ht="12.75">
      <c r="A151" s="41" t="s">
        <v>943</v>
      </c>
      <c r="B151" s="42">
        <v>38.9056</v>
      </c>
      <c r="C151" s="43">
        <v>703</v>
      </c>
      <c r="D151" s="43">
        <v>325</v>
      </c>
      <c r="E151" s="43">
        <v>350</v>
      </c>
      <c r="F151" s="43">
        <v>199</v>
      </c>
      <c r="G151" s="43">
        <v>440</v>
      </c>
      <c r="H151" s="43">
        <f>175+171</f>
        <v>346</v>
      </c>
      <c r="I151" s="43">
        <v>214</v>
      </c>
      <c r="J151" s="43">
        <v>371</v>
      </c>
      <c r="K151" s="43">
        <v>868</v>
      </c>
      <c r="L151" s="43"/>
      <c r="M151" s="44"/>
      <c r="N151" s="31"/>
      <c r="O151" s="43">
        <v>0</v>
      </c>
      <c r="P151" s="43"/>
      <c r="Q151" s="43"/>
      <c r="R151" s="142" t="e">
        <f>(P151-O151)/O151</f>
        <v>#DIV/0!</v>
      </c>
      <c r="S151" s="101" t="e">
        <f>(Q151-O151)/O151</f>
        <v>#DIV/0!</v>
      </c>
      <c r="T151" s="22" t="s">
        <v>10</v>
      </c>
    </row>
    <row r="152" spans="1:19" ht="12.75">
      <c r="A152" s="41" t="s">
        <v>944</v>
      </c>
      <c r="B152" s="42">
        <v>38.9057</v>
      </c>
      <c r="C152" s="43">
        <v>282</v>
      </c>
      <c r="D152" s="43">
        <v>325</v>
      </c>
      <c r="E152" s="43">
        <v>163</v>
      </c>
      <c r="F152" s="43">
        <v>199</v>
      </c>
      <c r="G152" s="43">
        <v>440</v>
      </c>
      <c r="H152" s="43">
        <v>133</v>
      </c>
      <c r="I152" s="43">
        <v>214</v>
      </c>
      <c r="J152" s="43">
        <v>520</v>
      </c>
      <c r="K152" s="43">
        <v>442</v>
      </c>
      <c r="L152" s="43">
        <v>615</v>
      </c>
      <c r="M152" s="31">
        <v>182</v>
      </c>
      <c r="N152" s="31">
        <v>185</v>
      </c>
      <c r="O152" s="43">
        <v>400</v>
      </c>
      <c r="P152" s="43">
        <v>150</v>
      </c>
      <c r="Q152" s="43">
        <v>150</v>
      </c>
      <c r="R152" s="142">
        <f>(P152-O152)/O152</f>
        <v>-0.625</v>
      </c>
      <c r="S152" s="101">
        <f>(Q152-O152)/O152</f>
        <v>-0.625</v>
      </c>
    </row>
    <row r="153" spans="1:19" ht="12.75">
      <c r="A153" s="41" t="s">
        <v>945</v>
      </c>
      <c r="B153" s="42">
        <v>38.9058</v>
      </c>
      <c r="C153" s="43">
        <v>1026</v>
      </c>
      <c r="D153" s="43">
        <v>1007</v>
      </c>
      <c r="E153" s="43">
        <v>1585</v>
      </c>
      <c r="F153" s="43">
        <v>685</v>
      </c>
      <c r="G153" s="43">
        <v>1840</v>
      </c>
      <c r="H153" s="43">
        <v>716</v>
      </c>
      <c r="I153" s="43">
        <v>965</v>
      </c>
      <c r="J153" s="43">
        <v>851</v>
      </c>
      <c r="K153" s="43">
        <v>2246</v>
      </c>
      <c r="L153" s="43">
        <v>922</v>
      </c>
      <c r="M153" s="44">
        <v>750</v>
      </c>
      <c r="N153" s="31">
        <v>150</v>
      </c>
      <c r="O153" s="43">
        <v>1000</v>
      </c>
      <c r="P153" s="43">
        <v>750</v>
      </c>
      <c r="Q153" s="43">
        <v>750</v>
      </c>
      <c r="R153" s="142">
        <f>(P153-O153)/O153</f>
        <v>-0.25</v>
      </c>
      <c r="S153" s="101">
        <f>(Q153-O153)/O153</f>
        <v>-0.25</v>
      </c>
    </row>
    <row r="154" spans="1:19" ht="12.75">
      <c r="A154" s="41" t="s">
        <v>946</v>
      </c>
      <c r="B154" s="42">
        <v>38.9059</v>
      </c>
      <c r="C154" s="43">
        <v>576</v>
      </c>
      <c r="D154" s="43">
        <v>565</v>
      </c>
      <c r="E154" s="43">
        <v>891</v>
      </c>
      <c r="F154" s="43">
        <v>385</v>
      </c>
      <c r="G154" s="43">
        <v>1034</v>
      </c>
      <c r="H154" s="43">
        <v>402</v>
      </c>
      <c r="I154" s="43">
        <v>542</v>
      </c>
      <c r="J154" s="43">
        <v>1121</v>
      </c>
      <c r="K154" s="43">
        <v>1427</v>
      </c>
      <c r="L154" s="43">
        <v>516</v>
      </c>
      <c r="M154" s="22">
        <v>765</v>
      </c>
      <c r="N154" s="31">
        <v>432</v>
      </c>
      <c r="O154" s="43">
        <v>1500</v>
      </c>
      <c r="P154" s="43">
        <v>750</v>
      </c>
      <c r="Q154" s="43">
        <v>750</v>
      </c>
      <c r="R154" s="142">
        <f>(P154-O154)/O154</f>
        <v>-0.5</v>
      </c>
      <c r="S154" s="101">
        <f>(Q154-O154)/O154</f>
        <v>-0.5</v>
      </c>
    </row>
    <row r="155" spans="1:19" ht="12.75" hidden="1">
      <c r="A155" s="41" t="s">
        <v>703</v>
      </c>
      <c r="B155" s="42">
        <v>38.906</v>
      </c>
      <c r="C155" s="43">
        <v>669</v>
      </c>
      <c r="D155" s="43">
        <v>485</v>
      </c>
      <c r="E155" s="43">
        <v>187</v>
      </c>
      <c r="F155" s="43">
        <v>42</v>
      </c>
      <c r="G155" s="43">
        <v>46</v>
      </c>
      <c r="H155" s="43"/>
      <c r="I155" s="43"/>
      <c r="J155" s="43"/>
      <c r="K155" s="43"/>
      <c r="L155" s="43"/>
      <c r="M155" s="44"/>
      <c r="N155" s="31"/>
      <c r="O155" s="43"/>
      <c r="P155" s="43"/>
      <c r="Q155" s="43"/>
      <c r="R155" s="142" t="e">
        <f>(P155-O155)/O155</f>
        <v>#DIV/0!</v>
      </c>
      <c r="S155" s="101"/>
    </row>
    <row r="156" spans="1:19" ht="12.75">
      <c r="A156" s="41" t="s">
        <v>1069</v>
      </c>
      <c r="B156" s="42">
        <v>38.9061</v>
      </c>
      <c r="C156" s="43"/>
      <c r="D156" s="43"/>
      <c r="E156" s="43"/>
      <c r="F156" s="43"/>
      <c r="G156" s="43"/>
      <c r="H156" s="43"/>
      <c r="I156" s="43"/>
      <c r="J156" s="43"/>
      <c r="K156" s="43">
        <v>20187</v>
      </c>
      <c r="L156" s="43">
        <v>36275</v>
      </c>
      <c r="M156" s="44">
        <v>19523</v>
      </c>
      <c r="N156" s="31">
        <v>19523</v>
      </c>
      <c r="O156" s="43"/>
      <c r="P156" s="43">
        <v>20000</v>
      </c>
      <c r="Q156" s="43">
        <v>20000</v>
      </c>
      <c r="R156" s="142"/>
      <c r="S156" s="101"/>
    </row>
    <row r="157" spans="1:19" ht="12.75">
      <c r="A157" s="41" t="s">
        <v>960</v>
      </c>
      <c r="B157" s="42">
        <v>38.9062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>
        <v>8656</v>
      </c>
      <c r="M157" s="44"/>
      <c r="N157" s="31"/>
      <c r="O157" s="43"/>
      <c r="P157" s="43"/>
      <c r="Q157" s="43"/>
      <c r="R157" s="142"/>
      <c r="S157" s="101"/>
    </row>
    <row r="158" spans="1:20" ht="12.75">
      <c r="A158" s="45" t="s">
        <v>575</v>
      </c>
      <c r="B158" s="42">
        <v>38.908</v>
      </c>
      <c r="C158" s="43"/>
      <c r="D158" s="43"/>
      <c r="E158" s="43"/>
      <c r="F158" s="43"/>
      <c r="G158" s="43"/>
      <c r="H158" s="43">
        <v>9778</v>
      </c>
      <c r="I158" s="43">
        <f>4238+353</f>
        <v>4591</v>
      </c>
      <c r="J158" s="43">
        <v>4238</v>
      </c>
      <c r="K158" s="43">
        <v>5064</v>
      </c>
      <c r="L158" s="43">
        <f>5577+402</f>
        <v>5979</v>
      </c>
      <c r="M158" s="31">
        <v>2592</v>
      </c>
      <c r="N158" s="31">
        <v>1750</v>
      </c>
      <c r="O158" s="43">
        <v>5100</v>
      </c>
      <c r="P158" s="43">
        <v>0</v>
      </c>
      <c r="Q158" s="43">
        <v>0</v>
      </c>
      <c r="R158" s="142">
        <f>(P158-O158)/O158</f>
        <v>-1</v>
      </c>
      <c r="S158" s="101"/>
      <c r="T158" s="22" t="s">
        <v>73</v>
      </c>
    </row>
    <row r="159" spans="1:19" ht="12.75">
      <c r="A159" s="45" t="s">
        <v>737</v>
      </c>
      <c r="B159" s="42">
        <v>38.9091</v>
      </c>
      <c r="C159" s="43"/>
      <c r="D159" s="43"/>
      <c r="E159" s="43"/>
      <c r="F159" s="43"/>
      <c r="G159" s="43"/>
      <c r="H159" s="43"/>
      <c r="I159" s="43"/>
      <c r="J159" s="43">
        <v>117699</v>
      </c>
      <c r="K159" s="43"/>
      <c r="L159" s="43"/>
      <c r="M159" s="31"/>
      <c r="N159" s="31"/>
      <c r="O159" s="43"/>
      <c r="P159" s="43"/>
      <c r="Q159" s="43"/>
      <c r="R159" s="142"/>
      <c r="S159" s="101"/>
    </row>
    <row r="160" spans="1:19" ht="12.75">
      <c r="A160" s="45" t="s">
        <v>738</v>
      </c>
      <c r="B160" s="42">
        <v>38.9092</v>
      </c>
      <c r="C160" s="43"/>
      <c r="D160" s="43"/>
      <c r="E160" s="43"/>
      <c r="F160" s="43"/>
      <c r="G160" s="43"/>
      <c r="H160" s="43"/>
      <c r="I160" s="43"/>
      <c r="J160" s="43">
        <v>77872</v>
      </c>
      <c r="K160" s="43">
        <v>20487</v>
      </c>
      <c r="L160" s="43"/>
      <c r="M160" s="31"/>
      <c r="N160" s="31"/>
      <c r="O160" s="43"/>
      <c r="P160" s="43"/>
      <c r="Q160" s="43"/>
      <c r="R160" s="142"/>
      <c r="S160" s="101"/>
    </row>
    <row r="161" spans="1:19" ht="12.75">
      <c r="A161" s="45" t="s">
        <v>961</v>
      </c>
      <c r="B161" s="42">
        <v>38.9093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>
        <v>95201</v>
      </c>
      <c r="M161" s="31">
        <v>88872</v>
      </c>
      <c r="N161" s="31">
        <v>89000</v>
      </c>
      <c r="O161" s="43"/>
      <c r="P161" s="43"/>
      <c r="Q161" s="43"/>
      <c r="R161" s="142"/>
      <c r="S161" s="101"/>
    </row>
    <row r="162" spans="1:19" ht="12.75">
      <c r="A162" s="45" t="s">
        <v>524</v>
      </c>
      <c r="B162" s="42">
        <v>39.12</v>
      </c>
      <c r="C162" s="43"/>
      <c r="D162" s="43"/>
      <c r="E162" s="43"/>
      <c r="F162" s="43">
        <v>-5760</v>
      </c>
      <c r="G162" s="43"/>
      <c r="H162" s="43"/>
      <c r="I162" s="43"/>
      <c r="J162" s="43">
        <v>17</v>
      </c>
      <c r="K162" s="43">
        <v>300</v>
      </c>
      <c r="L162" s="43"/>
      <c r="M162" s="22">
        <v>128</v>
      </c>
      <c r="N162" s="31"/>
      <c r="O162" s="43"/>
      <c r="P162" s="43"/>
      <c r="Q162" s="43"/>
      <c r="R162" s="142"/>
      <c r="S162" s="101"/>
    </row>
    <row r="163" spans="1:19" ht="11.25" customHeight="1">
      <c r="A163" s="41" t="s">
        <v>559</v>
      </c>
      <c r="B163" s="42">
        <v>39.21</v>
      </c>
      <c r="C163" s="43"/>
      <c r="D163" s="43"/>
      <c r="E163" s="43"/>
      <c r="F163" s="43"/>
      <c r="G163" s="43">
        <v>14289</v>
      </c>
      <c r="H163" s="43">
        <v>2775</v>
      </c>
      <c r="I163" s="43"/>
      <c r="J163" s="43"/>
      <c r="K163" s="43">
        <v>1000</v>
      </c>
      <c r="L163" s="43"/>
      <c r="M163" s="43"/>
      <c r="N163" s="31"/>
      <c r="O163" s="43"/>
      <c r="P163" s="43"/>
      <c r="Q163" s="43"/>
      <c r="R163" s="142"/>
      <c r="S163" s="101"/>
    </row>
    <row r="164" spans="1:19" ht="12.75" hidden="1">
      <c r="A164" s="41" t="s">
        <v>525</v>
      </c>
      <c r="B164" s="42">
        <v>39.35</v>
      </c>
      <c r="C164" s="43"/>
      <c r="D164" s="43"/>
      <c r="E164" s="43"/>
      <c r="F164" s="43">
        <v>84306</v>
      </c>
      <c r="G164" s="43"/>
      <c r="H164" s="43"/>
      <c r="I164" s="43"/>
      <c r="J164" s="43"/>
      <c r="K164" s="43"/>
      <c r="L164" s="43"/>
      <c r="M164" s="43"/>
      <c r="N164" s="31"/>
      <c r="O164" s="43"/>
      <c r="P164" s="43"/>
      <c r="Q164" s="43"/>
      <c r="R164" s="142" t="e">
        <f>(P164-O164)/O164</f>
        <v>#DIV/0!</v>
      </c>
      <c r="S164" s="101"/>
    </row>
    <row r="165" spans="1:19" ht="12.75">
      <c r="A165" s="41" t="s">
        <v>947</v>
      </c>
      <c r="B165" s="42">
        <v>61.1</v>
      </c>
      <c r="C165" s="43"/>
      <c r="D165" s="43"/>
      <c r="E165" s="43"/>
      <c r="F165" s="22">
        <v>-5000</v>
      </c>
      <c r="I165" s="22">
        <v>12</v>
      </c>
      <c r="J165" s="22">
        <v>3</v>
      </c>
      <c r="N165" s="31"/>
      <c r="O165" s="43"/>
      <c r="P165" s="43"/>
      <c r="Q165" s="43"/>
      <c r="R165" s="142"/>
      <c r="S165" s="101"/>
    </row>
    <row r="166" spans="1:19" ht="12.75" hidden="1">
      <c r="A166" s="41" t="s">
        <v>337</v>
      </c>
      <c r="B166" s="42">
        <v>61.21</v>
      </c>
      <c r="C166" s="43"/>
      <c r="D166" s="43"/>
      <c r="E166" s="43">
        <v>5814</v>
      </c>
      <c r="F166" s="43"/>
      <c r="G166" s="43"/>
      <c r="H166" s="43"/>
      <c r="I166" s="43"/>
      <c r="J166" s="43"/>
      <c r="K166" s="43"/>
      <c r="L166" s="43"/>
      <c r="N166" s="31"/>
      <c r="O166" s="43"/>
      <c r="P166" s="43"/>
      <c r="Q166" s="43"/>
      <c r="R166" s="101"/>
      <c r="S166" s="101"/>
    </row>
    <row r="167" spans="1:19" ht="12.75" hidden="1">
      <c r="A167" s="45" t="s">
        <v>133</v>
      </c>
      <c r="B167" s="42"/>
      <c r="C167" s="24">
        <v>25392</v>
      </c>
      <c r="D167" s="24">
        <v>180123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31"/>
      <c r="O167" s="43"/>
      <c r="P167" s="43"/>
      <c r="Q167" s="43"/>
      <c r="R167" s="101"/>
      <c r="S167" s="101"/>
    </row>
    <row r="168" spans="1:20" ht="12.75">
      <c r="A168" s="41" t="s">
        <v>1068</v>
      </c>
      <c r="B168" s="42"/>
      <c r="C168" s="43"/>
      <c r="D168" s="43"/>
      <c r="E168" s="43"/>
      <c r="F168" s="43"/>
      <c r="G168" s="43">
        <v>223418</v>
      </c>
      <c r="H168" s="22">
        <v>1356</v>
      </c>
      <c r="I168" s="22">
        <v>141864</v>
      </c>
      <c r="J168" s="22">
        <f>-9217752+9432954</f>
        <v>215202</v>
      </c>
      <c r="K168" s="24"/>
      <c r="L168" s="24"/>
      <c r="M168" s="43"/>
      <c r="N168" s="31">
        <v>50000</v>
      </c>
      <c r="O168" s="43"/>
      <c r="P168" s="43"/>
      <c r="Q168" s="43"/>
      <c r="R168" s="101"/>
      <c r="S168" s="101"/>
      <c r="T168" s="22" t="s">
        <v>962</v>
      </c>
    </row>
    <row r="169" spans="1:19" ht="12.75">
      <c r="A169" s="46" t="s">
        <v>116</v>
      </c>
      <c r="B169" s="46"/>
      <c r="C169" s="47">
        <f>SUM(C5:C167)</f>
        <v>5836900</v>
      </c>
      <c r="D169" s="47">
        <f>SUM(D5:D167)</f>
        <v>6556682</v>
      </c>
      <c r="E169" s="47">
        <f>SUM(E5:E167)</f>
        <v>7043683</v>
      </c>
      <c r="F169" s="47">
        <f>SUM(F5:F167)</f>
        <v>7412617</v>
      </c>
      <c r="G169" s="47">
        <f>SUM(G5:G168)</f>
        <v>7656783</v>
      </c>
      <c r="H169" s="47">
        <v>8020050</v>
      </c>
      <c r="I169" s="47">
        <v>8417220</v>
      </c>
      <c r="J169" s="47">
        <v>9432954.280000001</v>
      </c>
      <c r="K169" s="47">
        <v>9535056.08</v>
      </c>
      <c r="L169" s="47">
        <v>9134528</v>
      </c>
      <c r="M169" s="47">
        <f>SUM(M5:M168)</f>
        <v>8353626.3</v>
      </c>
      <c r="N169" s="47">
        <f>SUM(N5:N168)</f>
        <v>8756823</v>
      </c>
      <c r="O169" s="47">
        <f>SUM(O5:O168)</f>
        <v>9153194</v>
      </c>
      <c r="P169" s="47">
        <f>SUM(P5:P168)</f>
        <v>8577840</v>
      </c>
      <c r="Q169" s="47">
        <f>SUM(Q5:Q168)</f>
        <v>8577840</v>
      </c>
      <c r="R169" s="94">
        <f>(O169-M169)/M169</f>
        <v>0.09571504293889711</v>
      </c>
      <c r="S169" s="94">
        <f>(Q169-O169)/O169</f>
        <v>-0.06285827657536812</v>
      </c>
    </row>
    <row r="170" spans="1:19" ht="15" customHeight="1">
      <c r="A170" s="22" t="s">
        <v>685</v>
      </c>
      <c r="C170" s="56"/>
      <c r="D170" s="56">
        <f>D169-C169</f>
        <v>719782</v>
      </c>
      <c r="E170" s="56">
        <f>E169-D169</f>
        <v>487001</v>
      </c>
      <c r="F170" s="56">
        <f>F169-E169</f>
        <v>368934</v>
      </c>
      <c r="G170" s="56">
        <f>G169-F169</f>
        <v>244166</v>
      </c>
      <c r="H170" s="56">
        <f>H169-G169</f>
        <v>363267</v>
      </c>
      <c r="I170" s="56">
        <v>397170</v>
      </c>
      <c r="J170" s="56">
        <v>1015734.28</v>
      </c>
      <c r="K170" s="56">
        <v>102101.79999999888</v>
      </c>
      <c r="L170" s="56">
        <f>L169-K169</f>
        <v>-400528.0800000001</v>
      </c>
      <c r="M170" s="31"/>
      <c r="N170" s="102"/>
      <c r="P170" s="31"/>
      <c r="Q170" s="31"/>
      <c r="R170" s="106"/>
      <c r="S170" s="106"/>
    </row>
    <row r="171" spans="3:19" ht="17.25" customHeight="1">
      <c r="C171" s="31"/>
      <c r="D171" s="128">
        <f aca="true" t="shared" si="8" ref="D171:L171">D170/C169</f>
        <v>0.12331580119584026</v>
      </c>
      <c r="E171" s="128">
        <f t="shared" si="8"/>
        <v>0.07427552533430781</v>
      </c>
      <c r="F171" s="128">
        <f t="shared" si="8"/>
        <v>0.05237799600010392</v>
      </c>
      <c r="G171" s="128">
        <f t="shared" si="8"/>
        <v>0.03293924399439496</v>
      </c>
      <c r="H171" s="128">
        <f t="shared" si="8"/>
        <v>0.04744381550319501</v>
      </c>
      <c r="I171" s="128">
        <f t="shared" si="8"/>
        <v>0.04952213514878336</v>
      </c>
      <c r="J171" s="128">
        <f t="shared" si="8"/>
        <v>0.1206733672162543</v>
      </c>
      <c r="K171" s="128">
        <f t="shared" si="8"/>
        <v>0.010823947298936645</v>
      </c>
      <c r="L171" s="128">
        <f t="shared" si="8"/>
        <v>-0.04200584418586871</v>
      </c>
      <c r="M171" s="31"/>
      <c r="N171" s="102"/>
      <c r="O171" s="31"/>
      <c r="P171" s="31"/>
      <c r="R171" s="106"/>
      <c r="S171" s="106"/>
    </row>
    <row r="172" ht="15.75">
      <c r="A172" s="122" t="s">
        <v>652</v>
      </c>
    </row>
    <row r="173" spans="10:12" ht="12.75">
      <c r="J173" s="95"/>
      <c r="K173" s="95"/>
      <c r="L173" s="95"/>
    </row>
    <row r="174" spans="18:19" ht="12.75">
      <c r="R174" s="31"/>
      <c r="S174" s="31"/>
    </row>
    <row r="178" spans="11:13" ht="12.75">
      <c r="K178" s="41"/>
      <c r="L178" s="41"/>
      <c r="M178" s="41"/>
    </row>
    <row r="179" spans="11:13" ht="12.75">
      <c r="K179" s="41"/>
      <c r="L179" s="41"/>
      <c r="M179" s="41"/>
    </row>
    <row r="180" spans="11:13" ht="12.75">
      <c r="K180" s="41"/>
      <c r="L180" s="41"/>
      <c r="M180" s="41"/>
    </row>
    <row r="181" spans="11:13" ht="12.75">
      <c r="K181" s="41"/>
      <c r="L181" s="41"/>
      <c r="M181" s="41"/>
    </row>
    <row r="182" spans="11:13" ht="12.75">
      <c r="K182" s="41"/>
      <c r="L182" s="41"/>
      <c r="M182" s="41"/>
    </row>
    <row r="183" spans="11:13" ht="12.75">
      <c r="K183" s="41"/>
      <c r="L183" s="41"/>
      <c r="M183" s="41"/>
    </row>
    <row r="184" spans="11:13" ht="12.75">
      <c r="K184" s="41"/>
      <c r="L184" s="41"/>
      <c r="M184" s="41"/>
    </row>
    <row r="185" spans="11:13" ht="12.75">
      <c r="K185" s="41"/>
      <c r="L185" s="41"/>
      <c r="M185" s="41"/>
    </row>
    <row r="186" spans="11:13" ht="12.75">
      <c r="K186" s="41"/>
      <c r="L186" s="41"/>
      <c r="M186" s="41"/>
    </row>
    <row r="187" spans="11:13" ht="12.75">
      <c r="K187" s="41"/>
      <c r="L187" s="41"/>
      <c r="M187" s="41"/>
    </row>
    <row r="188" spans="11:13" ht="12.75">
      <c r="K188" s="41"/>
      <c r="L188" s="41"/>
      <c r="M188" s="41"/>
    </row>
    <row r="189" spans="11:13" ht="12.75">
      <c r="K189" s="41"/>
      <c r="L189" s="41"/>
      <c r="M189" s="41"/>
    </row>
    <row r="190" spans="11:13" ht="12.75">
      <c r="K190" s="41"/>
      <c r="L190" s="41"/>
      <c r="M190" s="41"/>
    </row>
    <row r="191" spans="11:13" ht="12.75">
      <c r="K191" s="41"/>
      <c r="L191" s="41"/>
      <c r="M191" s="41"/>
    </row>
    <row r="192" spans="11:13" ht="12.75">
      <c r="K192" s="41"/>
      <c r="L192" s="41"/>
      <c r="M192" s="41"/>
    </row>
    <row r="193" spans="11:13" ht="12.75">
      <c r="K193" s="41"/>
      <c r="L193" s="41"/>
      <c r="M193" s="41"/>
    </row>
    <row r="194" spans="11:13" ht="12.75">
      <c r="K194" s="41"/>
      <c r="L194" s="41"/>
      <c r="M194" s="41"/>
    </row>
    <row r="195" spans="11:13" ht="12.75">
      <c r="K195" s="41"/>
      <c r="L195" s="41"/>
      <c r="M195" s="41"/>
    </row>
    <row r="196" spans="11:13" ht="12.75">
      <c r="K196" s="41"/>
      <c r="L196" s="41"/>
      <c r="M196" s="41"/>
    </row>
    <row r="197" spans="11:13" ht="12.75">
      <c r="K197" s="41"/>
      <c r="L197" s="41"/>
      <c r="M197" s="41"/>
    </row>
    <row r="198" spans="11:13" ht="12.75">
      <c r="K198" s="41"/>
      <c r="L198" s="41"/>
      <c r="M198" s="41"/>
    </row>
    <row r="199" spans="11:13" ht="12.75">
      <c r="K199" s="41"/>
      <c r="L199" s="41"/>
      <c r="M199" s="41"/>
    </row>
    <row r="200" spans="11:13" ht="12.75">
      <c r="K200" s="41"/>
      <c r="L200" s="41"/>
      <c r="M200" s="41"/>
    </row>
    <row r="201" spans="11:13" ht="12.75">
      <c r="K201" s="41"/>
      <c r="L201" s="41"/>
      <c r="M201" s="41"/>
    </row>
    <row r="202" spans="11:13" ht="12.75">
      <c r="K202" s="41"/>
      <c r="L202" s="41"/>
      <c r="M202" s="41"/>
    </row>
    <row r="203" spans="11:13" ht="12.75">
      <c r="K203" s="41"/>
      <c r="L203" s="41"/>
      <c r="M203" s="41"/>
    </row>
    <row r="204" spans="11:13" ht="12.75">
      <c r="K204" s="41"/>
      <c r="L204" s="41"/>
      <c r="M204" s="41"/>
    </row>
    <row r="205" spans="11:13" ht="12.75">
      <c r="K205" s="41"/>
      <c r="L205" s="41"/>
      <c r="M205" s="41"/>
    </row>
    <row r="206" spans="11:13" ht="12.75">
      <c r="K206" s="41"/>
      <c r="L206" s="41"/>
      <c r="M206" s="41"/>
    </row>
    <row r="207" spans="11:13" ht="12.75">
      <c r="K207" s="41"/>
      <c r="L207" s="41"/>
      <c r="M207" s="41"/>
    </row>
    <row r="208" spans="11:13" ht="12.75">
      <c r="K208" s="41"/>
      <c r="L208" s="41"/>
      <c r="M208" s="41"/>
    </row>
    <row r="209" spans="11:13" ht="12.75">
      <c r="K209" s="41"/>
      <c r="L209" s="41"/>
      <c r="M209" s="41"/>
    </row>
    <row r="210" spans="11:13" ht="12.75">
      <c r="K210" s="41"/>
      <c r="L210" s="41"/>
      <c r="M210" s="41"/>
    </row>
    <row r="211" spans="11:13" ht="12.75">
      <c r="K211" s="41"/>
      <c r="L211" s="41"/>
      <c r="M211" s="41"/>
    </row>
    <row r="212" spans="11:13" ht="12.75">
      <c r="K212" s="41"/>
      <c r="L212" s="41"/>
      <c r="M212" s="41"/>
    </row>
    <row r="213" spans="11:13" ht="12.75">
      <c r="K213" s="41"/>
      <c r="L213" s="41"/>
      <c r="M213" s="41"/>
    </row>
    <row r="214" spans="11:13" ht="12.75">
      <c r="K214" s="41"/>
      <c r="L214" s="41"/>
      <c r="M214" s="41"/>
    </row>
    <row r="215" spans="11:13" ht="12.75">
      <c r="K215" s="41"/>
      <c r="L215" s="41"/>
      <c r="M215" s="41"/>
    </row>
    <row r="216" spans="11:13" ht="12.75">
      <c r="K216" s="41"/>
      <c r="L216" s="41"/>
      <c r="M216" s="41"/>
    </row>
    <row r="217" spans="11:13" ht="12.75">
      <c r="K217" s="41"/>
      <c r="L217" s="41"/>
      <c r="M217" s="41"/>
    </row>
    <row r="218" spans="11:13" ht="12.75">
      <c r="K218" s="41"/>
      <c r="L218" s="41"/>
      <c r="M218" s="41"/>
    </row>
    <row r="219" spans="11:13" ht="12.75">
      <c r="K219" s="41"/>
      <c r="L219" s="41"/>
      <c r="M219" s="41"/>
    </row>
    <row r="220" spans="11:13" ht="12.75">
      <c r="K220" s="41"/>
      <c r="L220" s="41"/>
      <c r="M220" s="41"/>
    </row>
    <row r="221" spans="11:13" ht="12.75">
      <c r="K221" s="41"/>
      <c r="L221" s="41"/>
      <c r="M221" s="41"/>
    </row>
    <row r="222" spans="11:13" ht="12.75">
      <c r="K222" s="41"/>
      <c r="L222" s="41"/>
      <c r="M222" s="41"/>
    </row>
    <row r="223" spans="11:13" ht="12.75">
      <c r="K223" s="41"/>
      <c r="L223" s="41"/>
      <c r="M223" s="41"/>
    </row>
    <row r="224" spans="11:13" ht="12.75">
      <c r="K224" s="41"/>
      <c r="L224" s="41"/>
      <c r="M224" s="41"/>
    </row>
    <row r="225" spans="11:13" ht="12.75">
      <c r="K225" s="41"/>
      <c r="L225" s="41"/>
      <c r="M225" s="41"/>
    </row>
    <row r="226" spans="11:13" ht="12.75">
      <c r="K226" s="41"/>
      <c r="L226" s="41"/>
      <c r="M226" s="41"/>
    </row>
    <row r="227" spans="11:13" ht="12.75">
      <c r="K227" s="41"/>
      <c r="L227" s="41"/>
      <c r="M227" s="41"/>
    </row>
    <row r="228" spans="11:13" ht="12.75">
      <c r="K228" s="41"/>
      <c r="L228" s="41"/>
      <c r="M228" s="41"/>
    </row>
    <row r="229" spans="11:13" ht="12.75">
      <c r="K229" s="41"/>
      <c r="L229" s="41"/>
      <c r="M229" s="41"/>
    </row>
    <row r="230" spans="11:13" ht="12.75">
      <c r="K230" s="41"/>
      <c r="L230" s="41"/>
      <c r="M230" s="41"/>
    </row>
    <row r="231" spans="11:13" ht="12.75">
      <c r="K231" s="41"/>
      <c r="L231" s="41"/>
      <c r="M231" s="41"/>
    </row>
    <row r="232" spans="11:13" ht="12.75">
      <c r="K232" s="41"/>
      <c r="L232" s="41"/>
      <c r="M232" s="41"/>
    </row>
    <row r="233" spans="11:13" ht="12.75">
      <c r="K233" s="41"/>
      <c r="L233" s="41"/>
      <c r="M233" s="41"/>
    </row>
    <row r="234" spans="11:13" ht="12.75">
      <c r="K234" s="41"/>
      <c r="L234" s="41"/>
      <c r="M234" s="41"/>
    </row>
  </sheetData>
  <printOptions gridLines="1"/>
  <pageMargins left="0.25" right="0.25" top="1" bottom="0.55" header="0.5" footer="0.25"/>
  <pageSetup fitToHeight="3" horizontalDpi="300" verticalDpi="300" orientation="landscape" scale="85" r:id="rId4"/>
  <headerFooter alignWithMargins="0">
    <oddFooter>&amp;L&amp;F
&amp;A&amp;CPage &amp;P of &amp;N&amp;R&amp;D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75"/>
  <sheetViews>
    <sheetView zoomScale="75" zoomScaleNormal="75" workbookViewId="0" topLeftCell="A1">
      <selection activeCell="P36" sqref="P36"/>
    </sheetView>
  </sheetViews>
  <sheetFormatPr defaultColWidth="9.140625" defaultRowHeight="12.75"/>
  <cols>
    <col min="1" max="1" width="34.00390625" style="0" customWidth="1"/>
    <col min="2" max="2" width="8.28125" style="0" customWidth="1"/>
    <col min="3" max="3" width="10.8515625" style="0" hidden="1" customWidth="1"/>
    <col min="4" max="4" width="7.57421875" style="0" hidden="1" customWidth="1"/>
    <col min="5" max="5" width="8.00390625" style="0" hidden="1" customWidth="1"/>
    <col min="6" max="6" width="7.140625" style="0" hidden="1" customWidth="1"/>
    <col min="7" max="7" width="10.421875" style="0" hidden="1" customWidth="1"/>
    <col min="8" max="9" width="8.00390625" style="0" hidden="1" customWidth="1"/>
    <col min="10" max="12" width="8.00390625" style="0" customWidth="1"/>
    <col min="13" max="13" width="7.7109375" style="0" bestFit="1" customWidth="1"/>
    <col min="14" max="14" width="8.7109375" style="0" customWidth="1"/>
    <col min="15" max="15" width="11.140625" style="0" bestFit="1" customWidth="1"/>
    <col min="16" max="16" width="9.28125" style="0" bestFit="1" customWidth="1"/>
    <col min="17" max="17" width="10.8515625" style="0" bestFit="1" customWidth="1"/>
    <col min="18" max="18" width="8.851562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460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s="22" t="s">
        <v>686</v>
      </c>
      <c r="B7" s="4">
        <v>51.11</v>
      </c>
      <c r="C7" s="2">
        <v>100</v>
      </c>
      <c r="D7" s="2">
        <v>7450</v>
      </c>
      <c r="E7" s="2">
        <v>200</v>
      </c>
      <c r="F7" s="2">
        <v>7800</v>
      </c>
      <c r="G7" s="2">
        <v>50</v>
      </c>
      <c r="H7" s="2">
        <v>7030</v>
      </c>
      <c r="I7" s="2">
        <v>115</v>
      </c>
      <c r="J7" s="2">
        <v>9600</v>
      </c>
      <c r="K7" s="2">
        <v>680</v>
      </c>
      <c r="L7" s="2">
        <v>8800</v>
      </c>
      <c r="M7" s="2"/>
      <c r="N7" s="2">
        <f aca="true" t="shared" si="0" ref="N7:N18">+M7/$M$3*12</f>
        <v>0</v>
      </c>
      <c r="O7" s="2">
        <v>665</v>
      </c>
      <c r="P7" s="2">
        <v>9000</v>
      </c>
      <c r="Q7" s="2">
        <v>9000</v>
      </c>
      <c r="R7" s="2">
        <v>9000</v>
      </c>
      <c r="S7" s="92">
        <f>(R7-O7)/O7</f>
        <v>12.533834586466165</v>
      </c>
      <c r="T7" t="s">
        <v>371</v>
      </c>
    </row>
    <row r="8" spans="1:19" ht="12.75">
      <c r="A8" t="s">
        <v>139</v>
      </c>
      <c r="B8" s="4">
        <v>51.22</v>
      </c>
      <c r="C8" s="2">
        <v>3</v>
      </c>
      <c r="D8" s="2">
        <v>569</v>
      </c>
      <c r="E8" s="2">
        <v>15</v>
      </c>
      <c r="F8" s="2">
        <v>597</v>
      </c>
      <c r="G8" s="2">
        <v>4</v>
      </c>
      <c r="H8" s="2">
        <v>538</v>
      </c>
      <c r="I8" s="2">
        <v>9</v>
      </c>
      <c r="J8" s="2">
        <v>734</v>
      </c>
      <c r="K8" s="2">
        <v>52</v>
      </c>
      <c r="L8" s="2">
        <v>673</v>
      </c>
      <c r="M8" s="2"/>
      <c r="N8" s="2">
        <f>0.0765*N7</f>
        <v>0</v>
      </c>
      <c r="O8" s="2">
        <v>50.8725</v>
      </c>
      <c r="P8" s="2"/>
      <c r="Q8" s="2"/>
      <c r="R8" s="2"/>
      <c r="S8" s="92">
        <f>(R8-O8)/O8</f>
        <v>-1</v>
      </c>
    </row>
    <row r="9" spans="2:19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P9" s="2"/>
      <c r="Q9" s="2"/>
      <c r="R9" s="2"/>
      <c r="S9" s="92"/>
    </row>
    <row r="10" spans="1:20" ht="12.75">
      <c r="A10" s="33" t="s">
        <v>356</v>
      </c>
      <c r="B10" s="34">
        <v>52.1317</v>
      </c>
      <c r="C10" s="13"/>
      <c r="D10" s="13"/>
      <c r="E10" s="13"/>
      <c r="F10" s="20">
        <v>636</v>
      </c>
      <c r="G10" s="20">
        <v>242</v>
      </c>
      <c r="H10" s="20">
        <v>362</v>
      </c>
      <c r="I10" s="20">
        <v>473</v>
      </c>
      <c r="J10" s="20">
        <v>815</v>
      </c>
      <c r="K10" s="20">
        <v>378</v>
      </c>
      <c r="L10" s="20">
        <v>336</v>
      </c>
      <c r="M10" s="20">
        <v>229</v>
      </c>
      <c r="N10" s="2">
        <f t="shared" si="0"/>
        <v>274.79999999999995</v>
      </c>
      <c r="O10" s="20">
        <v>380</v>
      </c>
      <c r="P10" s="20"/>
      <c r="Q10" s="20"/>
      <c r="R10" s="20"/>
      <c r="S10" s="92">
        <f>(R10-O10)/O10</f>
        <v>-1</v>
      </c>
      <c r="T10" s="6"/>
    </row>
    <row r="11" spans="1:19" ht="12.75" hidden="1">
      <c r="A11" t="s">
        <v>141</v>
      </c>
      <c r="B11" s="4">
        <v>52.32</v>
      </c>
      <c r="C11" s="2"/>
      <c r="D11" s="2"/>
      <c r="E11" s="2"/>
      <c r="F11" s="2">
        <v>71</v>
      </c>
      <c r="G11" s="2"/>
      <c r="H11" s="2"/>
      <c r="I11" s="2"/>
      <c r="J11" s="2"/>
      <c r="K11" s="2"/>
      <c r="L11" s="2"/>
      <c r="M11" s="2"/>
      <c r="N11" s="2">
        <f t="shared" si="0"/>
        <v>0</v>
      </c>
      <c r="O11" s="2">
        <v>0</v>
      </c>
      <c r="P11" s="2"/>
      <c r="Q11" s="2"/>
      <c r="R11" s="2"/>
      <c r="S11" s="92"/>
    </row>
    <row r="12" spans="1:20" ht="12.75">
      <c r="A12" t="s">
        <v>163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801</v>
      </c>
      <c r="N12" s="2"/>
      <c r="O12" s="2">
        <v>0</v>
      </c>
      <c r="P12" s="2">
        <v>1600</v>
      </c>
      <c r="Q12" s="2">
        <v>1600</v>
      </c>
      <c r="R12" s="2">
        <v>1600</v>
      </c>
      <c r="S12" s="92"/>
      <c r="T12" t="s">
        <v>515</v>
      </c>
    </row>
    <row r="13" spans="1:19" ht="12.75">
      <c r="A13" t="s">
        <v>142</v>
      </c>
      <c r="B13" s="4">
        <v>52.321</v>
      </c>
      <c r="C13" s="2">
        <v>1973</v>
      </c>
      <c r="D13" s="2">
        <v>1102</v>
      </c>
      <c r="E13" s="2">
        <v>1133</v>
      </c>
      <c r="F13" s="2">
        <v>1419</v>
      </c>
      <c r="G13" s="2">
        <v>977</v>
      </c>
      <c r="H13" s="2">
        <v>1319</v>
      </c>
      <c r="I13" s="2">
        <v>897</v>
      </c>
      <c r="J13" s="2">
        <v>1497</v>
      </c>
      <c r="K13" s="2">
        <v>1177</v>
      </c>
      <c r="L13" s="2">
        <v>823</v>
      </c>
      <c r="M13" s="2">
        <v>1400</v>
      </c>
      <c r="N13" s="2">
        <f t="shared" si="0"/>
        <v>1680</v>
      </c>
      <c r="O13" s="2">
        <v>1140</v>
      </c>
      <c r="P13" s="2">
        <v>1900</v>
      </c>
      <c r="Q13" s="2">
        <v>1000</v>
      </c>
      <c r="R13" s="2">
        <v>1000</v>
      </c>
      <c r="S13" s="92">
        <f>(R13-O13)/O13</f>
        <v>-0.12280701754385964</v>
      </c>
    </row>
    <row r="14" spans="1:20" ht="0.75" customHeight="1" hidden="1">
      <c r="A14" t="s">
        <v>163</v>
      </c>
      <c r="B14" s="4">
        <v>52.33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P14" s="2"/>
      <c r="Q14" s="2"/>
      <c r="R14" s="2"/>
      <c r="S14" s="92"/>
      <c r="T14" t="s">
        <v>515</v>
      </c>
    </row>
    <row r="15" spans="1:19" ht="12.75" hidden="1">
      <c r="A15" t="s">
        <v>154</v>
      </c>
      <c r="B15" s="4">
        <v>52.35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>
        <v>0</v>
      </c>
      <c r="P15" s="2"/>
      <c r="Q15" s="2"/>
      <c r="R15" s="2"/>
      <c r="S15" s="92"/>
    </row>
    <row r="16" spans="1:20" ht="12.75">
      <c r="A16" t="s">
        <v>220</v>
      </c>
      <c r="B16" s="4">
        <v>52.362</v>
      </c>
      <c r="C16" s="2">
        <v>35444</v>
      </c>
      <c r="D16" s="2">
        <v>71653</v>
      </c>
      <c r="E16" s="2">
        <v>27335</v>
      </c>
      <c r="F16" s="2">
        <v>44446</v>
      </c>
      <c r="G16" s="2">
        <v>46700</v>
      </c>
      <c r="H16" s="2">
        <v>42355</v>
      </c>
      <c r="I16" s="2">
        <v>35699</v>
      </c>
      <c r="J16" s="2">
        <v>54270</v>
      </c>
      <c r="K16" s="2">
        <v>39479</v>
      </c>
      <c r="L16" s="2">
        <v>40351</v>
      </c>
      <c r="M16" s="2">
        <v>28201</v>
      </c>
      <c r="N16" s="2">
        <f t="shared" si="0"/>
        <v>33841.2</v>
      </c>
      <c r="O16" s="2">
        <v>38000</v>
      </c>
      <c r="P16" s="2">
        <v>43000</v>
      </c>
      <c r="Q16" s="2">
        <v>38000</v>
      </c>
      <c r="R16" s="2">
        <v>38000</v>
      </c>
      <c r="S16" s="92">
        <f>(R16-O16)/O16</f>
        <v>0</v>
      </c>
      <c r="T16" t="s">
        <v>514</v>
      </c>
    </row>
    <row r="17" spans="1:19" ht="12.75">
      <c r="A17" t="s">
        <v>149</v>
      </c>
      <c r="B17" s="4">
        <v>53.171</v>
      </c>
      <c r="C17" s="2">
        <v>1666</v>
      </c>
      <c r="D17" s="2">
        <v>990</v>
      </c>
      <c r="E17" s="2">
        <v>786</v>
      </c>
      <c r="F17" s="2">
        <v>1058</v>
      </c>
      <c r="G17" s="2">
        <v>739</v>
      </c>
      <c r="H17" s="2">
        <v>820</v>
      </c>
      <c r="I17" s="2">
        <v>668</v>
      </c>
      <c r="J17" s="2">
        <v>1011</v>
      </c>
      <c r="K17" s="2">
        <v>749</v>
      </c>
      <c r="L17" s="2">
        <v>1540</v>
      </c>
      <c r="M17" s="2">
        <v>58</v>
      </c>
      <c r="N17" s="2">
        <f t="shared" si="0"/>
        <v>69.6</v>
      </c>
      <c r="O17" s="2">
        <v>712.5</v>
      </c>
      <c r="P17" s="2">
        <v>850</v>
      </c>
      <c r="Q17" s="2">
        <v>700</v>
      </c>
      <c r="R17" s="2">
        <v>700</v>
      </c>
      <c r="S17" s="92">
        <f>(R17-O17)/O17</f>
        <v>-0.017543859649122806</v>
      </c>
    </row>
    <row r="18" spans="1:20" ht="12.75">
      <c r="A18" s="33" t="s">
        <v>357</v>
      </c>
      <c r="B18" s="34">
        <v>53.179</v>
      </c>
      <c r="C18" s="32"/>
      <c r="D18" s="32"/>
      <c r="E18" s="32"/>
      <c r="F18" s="20">
        <v>83</v>
      </c>
      <c r="G18" s="20">
        <v>46</v>
      </c>
      <c r="H18" s="20">
        <v>70</v>
      </c>
      <c r="I18" s="20">
        <v>40</v>
      </c>
      <c r="J18" s="20"/>
      <c r="K18" s="20">
        <v>62</v>
      </c>
      <c r="L18" s="20"/>
      <c r="M18" s="20"/>
      <c r="N18" s="20">
        <f t="shared" si="0"/>
        <v>0</v>
      </c>
      <c r="O18" s="20"/>
      <c r="P18" s="20"/>
      <c r="Q18" s="20"/>
      <c r="R18" s="20"/>
      <c r="S18" s="92" t="e">
        <f>(R18-O18)/O18</f>
        <v>#DIV/0!</v>
      </c>
      <c r="T18" s="6"/>
    </row>
    <row r="19" spans="2:19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  <c r="P19" s="5"/>
      <c r="Q19" s="5"/>
      <c r="R19" s="2"/>
      <c r="S19" s="52"/>
    </row>
    <row r="20" spans="2:19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2"/>
    </row>
    <row r="21" spans="1:21" ht="12.75">
      <c r="A21" s="6" t="s">
        <v>116</v>
      </c>
      <c r="B21" s="6"/>
      <c r="C21" s="7">
        <f>SUM(C7:C17)</f>
        <v>39186</v>
      </c>
      <c r="D21" s="8">
        <f>SUM(D7:D17)</f>
        <v>81764</v>
      </c>
      <c r="E21" s="8">
        <f>SUM(E7:E20)</f>
        <v>29469</v>
      </c>
      <c r="F21" s="8">
        <f>SUM(F7:F20)</f>
        <v>56110</v>
      </c>
      <c r="G21" s="8">
        <f>SUM(G7:G20)</f>
        <v>48758</v>
      </c>
      <c r="H21" s="8">
        <f>SUM(H7:H20)</f>
        <v>52494</v>
      </c>
      <c r="I21" s="8">
        <f>SUM(I7:I20)</f>
        <v>37901</v>
      </c>
      <c r="J21" s="8">
        <v>67927</v>
      </c>
      <c r="K21" s="8">
        <f aca="true" t="shared" si="1" ref="K21:R21">SUM(K7:K18)</f>
        <v>42577</v>
      </c>
      <c r="L21" s="8">
        <v>52522</v>
      </c>
      <c r="M21" s="8">
        <f t="shared" si="1"/>
        <v>30689</v>
      </c>
      <c r="N21" s="8">
        <f t="shared" si="1"/>
        <v>35865.6</v>
      </c>
      <c r="O21" s="8">
        <f t="shared" si="1"/>
        <v>40948.3725</v>
      </c>
      <c r="P21" s="8">
        <f t="shared" si="1"/>
        <v>56350</v>
      </c>
      <c r="Q21" s="8">
        <f t="shared" si="1"/>
        <v>50300</v>
      </c>
      <c r="R21" s="8">
        <f t="shared" si="1"/>
        <v>50300</v>
      </c>
      <c r="S21" s="53">
        <f>(R21-O21)/O21</f>
        <v>0.22837604840094688</v>
      </c>
      <c r="U21" t="s">
        <v>683</v>
      </c>
    </row>
    <row r="22" ht="12.75">
      <c r="S22" s="52"/>
    </row>
    <row r="23" spans="15:19" ht="12.75">
      <c r="O23" s="22" t="s">
        <v>488</v>
      </c>
      <c r="P23" s="22"/>
      <c r="Q23" s="56">
        <f>P21-Q21</f>
        <v>6050</v>
      </c>
      <c r="S23" s="52"/>
    </row>
    <row r="24" spans="15:19" ht="12.75">
      <c r="O24" s="22" t="s">
        <v>761</v>
      </c>
      <c r="P24" s="22"/>
      <c r="Q24" s="56">
        <f>O21-Q21</f>
        <v>-9351.627500000002</v>
      </c>
      <c r="S24" s="52"/>
    </row>
    <row r="25" spans="1:19" ht="12.75">
      <c r="A25" s="6"/>
      <c r="O25" s="22" t="s">
        <v>436</v>
      </c>
      <c r="P25" s="22"/>
      <c r="Q25" s="56">
        <f>Q21-R21</f>
        <v>0</v>
      </c>
      <c r="S25" s="52"/>
    </row>
    <row r="26" ht="12.75">
      <c r="S26" s="52"/>
    </row>
    <row r="27" spans="1:19" ht="12.75">
      <c r="A27" s="1" t="s">
        <v>371</v>
      </c>
      <c r="B27" t="s">
        <v>602</v>
      </c>
      <c r="S27" s="52"/>
    </row>
    <row r="28" spans="1:19" ht="12.75">
      <c r="A28" s="1" t="s">
        <v>771</v>
      </c>
      <c r="B28" t="s">
        <v>952</v>
      </c>
      <c r="S28" s="52"/>
    </row>
    <row r="29" spans="2:19" ht="12.75">
      <c r="B29" t="s">
        <v>620</v>
      </c>
      <c r="S29" s="52"/>
    </row>
    <row r="30" spans="1:19" ht="12.75">
      <c r="A30" t="s">
        <v>991</v>
      </c>
      <c r="S30" s="52"/>
    </row>
    <row r="31" ht="12.75">
      <c r="A31" t="s">
        <v>1043</v>
      </c>
    </row>
    <row r="32" ht="12.75">
      <c r="A32" s="6"/>
    </row>
    <row r="33" spans="1:21" ht="12.75">
      <c r="A33" s="6"/>
      <c r="N33" s="2"/>
      <c r="O33" s="2"/>
      <c r="P33" s="2"/>
      <c r="Q33" s="2"/>
      <c r="R33" s="2"/>
      <c r="S33" s="2"/>
      <c r="T33" s="2"/>
      <c r="U33" s="2"/>
    </row>
    <row r="34" spans="14:21" ht="12.75">
      <c r="N34" s="2"/>
      <c r="O34" s="2"/>
      <c r="P34" s="2"/>
      <c r="Q34" s="2"/>
      <c r="R34" s="2"/>
      <c r="S34" s="2"/>
      <c r="T34" s="2"/>
      <c r="U34" s="2"/>
    </row>
    <row r="35" spans="14:21" ht="12.75">
      <c r="N35" s="2"/>
      <c r="O35" s="2"/>
      <c r="P35" s="2"/>
      <c r="Q35" s="2"/>
      <c r="R35" s="2"/>
      <c r="S35" s="2"/>
      <c r="T35" s="2"/>
      <c r="U35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T15"/>
  <sheetViews>
    <sheetView workbookViewId="0" topLeftCell="A1">
      <selection activeCell="N6" sqref="N6"/>
    </sheetView>
  </sheetViews>
  <sheetFormatPr defaultColWidth="9.140625" defaultRowHeight="12.75"/>
  <cols>
    <col min="1" max="1" width="27.140625" style="33" bestFit="1" customWidth="1"/>
    <col min="2" max="2" width="8.8515625" style="33" customWidth="1"/>
    <col min="3" max="3" width="8.7109375" style="33" hidden="1" customWidth="1"/>
    <col min="4" max="4" width="6.28125" style="33" hidden="1" customWidth="1"/>
    <col min="5" max="5" width="6.57421875" style="33" hidden="1" customWidth="1"/>
    <col min="6" max="7" width="6.28125" style="33" bestFit="1" customWidth="1"/>
    <col min="8" max="8" width="6.28125" style="33" customWidth="1"/>
    <col min="9" max="9" width="6.28125" style="33" bestFit="1" customWidth="1"/>
    <col min="10" max="10" width="8.7109375" style="33" customWidth="1"/>
    <col min="11" max="11" width="6.8515625" style="33" bestFit="1" customWidth="1"/>
    <col min="12" max="12" width="7.8515625" style="33" bestFit="1" customWidth="1"/>
    <col min="13" max="13" width="6.8515625" style="33" bestFit="1" customWidth="1"/>
    <col min="14" max="14" width="8.57421875" style="33" bestFit="1" customWidth="1"/>
    <col min="15" max="15" width="8.00390625" style="33" bestFit="1" customWidth="1"/>
    <col min="16" max="16384" width="8.7109375" style="33" customWidth="1"/>
  </cols>
  <sheetData>
    <row r="1" spans="1:17" ht="12.75">
      <c r="A1" s="151" t="s">
        <v>875</v>
      </c>
      <c r="B1" s="10"/>
      <c r="C1" s="10"/>
      <c r="D1" s="10"/>
      <c r="E1" s="97"/>
      <c r="F1" s="97"/>
      <c r="G1" s="97"/>
      <c r="H1" s="97"/>
      <c r="I1" s="152">
        <v>10</v>
      </c>
      <c r="J1" s="10"/>
      <c r="K1" s="10"/>
      <c r="L1" s="10"/>
      <c r="M1" s="10"/>
      <c r="N1" s="10"/>
      <c r="O1" s="97" t="s">
        <v>354</v>
      </c>
      <c r="P1" s="10"/>
      <c r="Q1" s="10"/>
    </row>
    <row r="2" spans="1:17" ht="12.75">
      <c r="A2" s="10"/>
      <c r="B2" s="10"/>
      <c r="C2" s="10"/>
      <c r="D2" s="10"/>
      <c r="E2" s="97"/>
      <c r="F2" s="97"/>
      <c r="G2" s="97"/>
      <c r="H2" s="97"/>
      <c r="I2" s="97" t="s">
        <v>434</v>
      </c>
      <c r="J2" s="10"/>
      <c r="K2" s="97"/>
      <c r="L2" s="97" t="s">
        <v>429</v>
      </c>
      <c r="M2" s="97" t="s">
        <v>431</v>
      </c>
      <c r="N2" s="97" t="s">
        <v>432</v>
      </c>
      <c r="O2" s="97" t="s">
        <v>426</v>
      </c>
      <c r="P2" s="10"/>
      <c r="Q2" s="10"/>
    </row>
    <row r="3" spans="1:17" ht="12.75">
      <c r="A3" s="10"/>
      <c r="B3" s="10"/>
      <c r="C3" s="97" t="s">
        <v>425</v>
      </c>
      <c r="D3" s="97" t="s">
        <v>425</v>
      </c>
      <c r="E3" s="97" t="s">
        <v>425</v>
      </c>
      <c r="F3" s="97" t="s">
        <v>425</v>
      </c>
      <c r="G3" s="97" t="s">
        <v>425</v>
      </c>
      <c r="H3" s="97" t="s">
        <v>425</v>
      </c>
      <c r="I3" s="97" t="s">
        <v>425</v>
      </c>
      <c r="J3" s="97" t="s">
        <v>435</v>
      </c>
      <c r="K3" s="97" t="s">
        <v>354</v>
      </c>
      <c r="L3" s="97" t="s">
        <v>430</v>
      </c>
      <c r="M3" s="97" t="s">
        <v>691</v>
      </c>
      <c r="N3" s="97" t="s">
        <v>421</v>
      </c>
      <c r="O3" s="97" t="s">
        <v>427</v>
      </c>
      <c r="P3" s="10"/>
      <c r="Q3" s="10"/>
    </row>
    <row r="4" spans="1:17" ht="12.75">
      <c r="A4" s="10" t="s">
        <v>118</v>
      </c>
      <c r="B4" s="10"/>
      <c r="C4" s="153">
        <v>2003</v>
      </c>
      <c r="D4" s="153">
        <v>2004</v>
      </c>
      <c r="E4" s="153">
        <v>2005</v>
      </c>
      <c r="F4" s="153">
        <v>2006</v>
      </c>
      <c r="G4" s="153">
        <v>2007</v>
      </c>
      <c r="H4" s="153">
        <v>2008</v>
      </c>
      <c r="I4" s="23">
        <v>2009</v>
      </c>
      <c r="J4" s="23">
        <v>2009</v>
      </c>
      <c r="K4" s="23">
        <v>2009</v>
      </c>
      <c r="L4" s="23">
        <v>2010</v>
      </c>
      <c r="M4" s="23">
        <v>2010</v>
      </c>
      <c r="N4" s="23">
        <v>2010</v>
      </c>
      <c r="O4" s="162" t="s">
        <v>53</v>
      </c>
      <c r="P4" s="153" t="s">
        <v>115</v>
      </c>
      <c r="Q4" s="10"/>
    </row>
    <row r="5" spans="1:17" ht="12.75">
      <c r="A5" s="10" t="s">
        <v>877</v>
      </c>
      <c r="B5" s="10"/>
      <c r="C5" s="10">
        <v>2241</v>
      </c>
      <c r="D5" s="10">
        <v>1140</v>
      </c>
      <c r="E5" s="10">
        <v>104</v>
      </c>
      <c r="F5" s="10">
        <v>1153</v>
      </c>
      <c r="G5" s="10">
        <v>405</v>
      </c>
      <c r="H5" s="10"/>
      <c r="I5" s="10"/>
      <c r="J5" s="10"/>
      <c r="K5" s="10">
        <v>1000</v>
      </c>
      <c r="L5" s="10">
        <v>500</v>
      </c>
      <c r="M5" s="10">
        <v>500</v>
      </c>
      <c r="N5" s="10">
        <v>500</v>
      </c>
      <c r="O5" s="10"/>
      <c r="P5" s="10"/>
      <c r="Q5" s="10"/>
    </row>
    <row r="6" spans="1:17" ht="12.75">
      <c r="A6" s="10" t="s">
        <v>633</v>
      </c>
      <c r="B6" s="154">
        <v>52.1309</v>
      </c>
      <c r="C6" s="154"/>
      <c r="D6" s="155">
        <v>350</v>
      </c>
      <c r="E6" s="156">
        <v>350</v>
      </c>
      <c r="F6" s="156">
        <v>350</v>
      </c>
      <c r="G6" s="156">
        <v>400</v>
      </c>
      <c r="H6" s="156">
        <v>544</v>
      </c>
      <c r="I6" s="156">
        <v>701</v>
      </c>
      <c r="J6" s="156">
        <v>701</v>
      </c>
      <c r="K6" s="156">
        <v>400</v>
      </c>
      <c r="L6" s="156">
        <v>700</v>
      </c>
      <c r="M6" s="156">
        <v>700</v>
      </c>
      <c r="N6" s="156">
        <v>700</v>
      </c>
      <c r="O6" s="157"/>
      <c r="P6" s="10" t="s">
        <v>874</v>
      </c>
      <c r="Q6" s="10"/>
    </row>
    <row r="7" spans="1:17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>
      <c r="A8" s="10" t="s">
        <v>876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0" ht="12.75">
      <c r="A10" s="151" t="s">
        <v>116</v>
      </c>
      <c r="B10" s="151"/>
      <c r="C10" s="158">
        <f>SUM(C5:C9)</f>
        <v>2241</v>
      </c>
      <c r="D10" s="158">
        <f aca="true" t="shared" si="0" ref="D10:O10">SUM(D5:D9)</f>
        <v>1490</v>
      </c>
      <c r="E10" s="158">
        <f t="shared" si="0"/>
        <v>454</v>
      </c>
      <c r="F10" s="158">
        <f t="shared" si="0"/>
        <v>1503</v>
      </c>
      <c r="G10" s="158">
        <f t="shared" si="0"/>
        <v>805</v>
      </c>
      <c r="H10" s="158">
        <v>544</v>
      </c>
      <c r="I10" s="158">
        <f t="shared" si="0"/>
        <v>701</v>
      </c>
      <c r="J10" s="158">
        <f t="shared" si="0"/>
        <v>701</v>
      </c>
      <c r="K10" s="158">
        <f t="shared" si="0"/>
        <v>1400</v>
      </c>
      <c r="L10" s="158">
        <f t="shared" si="0"/>
        <v>1200</v>
      </c>
      <c r="M10" s="158">
        <f t="shared" si="0"/>
        <v>1200</v>
      </c>
      <c r="N10" s="158">
        <f t="shared" si="0"/>
        <v>1200</v>
      </c>
      <c r="O10" s="158">
        <f t="shared" si="0"/>
        <v>0</v>
      </c>
      <c r="P10" s="10"/>
      <c r="Q10" s="10"/>
      <c r="R10" s="149"/>
      <c r="T10" s="33" t="s">
        <v>683</v>
      </c>
    </row>
    <row r="11" spans="1:19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149"/>
    </row>
    <row r="12" spans="1:19" ht="12.75">
      <c r="A12" s="10"/>
      <c r="B12" s="10"/>
      <c r="C12" s="10"/>
      <c r="D12" s="10"/>
      <c r="E12" s="10"/>
      <c r="F12" s="10"/>
      <c r="G12" s="10"/>
      <c r="H12" s="10"/>
      <c r="I12" s="10"/>
      <c r="J12" s="10" t="s">
        <v>488</v>
      </c>
      <c r="K12" s="10"/>
      <c r="L12" s="10"/>
      <c r="M12" s="159"/>
      <c r="N12" s="10"/>
      <c r="O12" s="10"/>
      <c r="P12" s="10"/>
      <c r="Q12" s="10"/>
      <c r="S12" s="149"/>
    </row>
    <row r="13" spans="1:19" ht="12.75">
      <c r="A13" s="10"/>
      <c r="B13" s="10"/>
      <c r="C13" s="10"/>
      <c r="D13" s="10"/>
      <c r="E13" s="10"/>
      <c r="F13" s="10"/>
      <c r="G13" s="10"/>
      <c r="H13" s="10"/>
      <c r="I13" s="10"/>
      <c r="J13" s="10" t="s">
        <v>761</v>
      </c>
      <c r="K13" s="10"/>
      <c r="L13" s="10"/>
      <c r="M13" s="159"/>
      <c r="N13" s="10"/>
      <c r="O13" s="10"/>
      <c r="P13" s="10"/>
      <c r="Q13" s="10"/>
      <c r="S13" s="149"/>
    </row>
    <row r="14" spans="1:19" ht="12.75">
      <c r="A14" s="10"/>
      <c r="B14" s="10"/>
      <c r="C14" s="10"/>
      <c r="D14" s="10"/>
      <c r="E14" s="10"/>
      <c r="F14" s="10"/>
      <c r="G14" s="10"/>
      <c r="H14" s="10"/>
      <c r="I14" s="10"/>
      <c r="J14" s="10" t="s">
        <v>436</v>
      </c>
      <c r="K14" s="10"/>
      <c r="L14" s="10"/>
      <c r="M14" s="159"/>
      <c r="N14" s="10"/>
      <c r="O14" s="10"/>
      <c r="P14" s="10"/>
      <c r="Q14" s="10"/>
      <c r="S14" s="149"/>
    </row>
    <row r="15" spans="1:1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S15" s="149"/>
    </row>
  </sheetData>
  <printOptions gridLines="1"/>
  <pageMargins left="0.25" right="0.25" top="1" bottom="0.55" header="0.5" footer="0.25"/>
  <pageSetup fitToHeight="1" fitToWidth="1" horizontalDpi="600" verticalDpi="600" orientation="landscape" scale="90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U75"/>
  <sheetViews>
    <sheetView zoomScale="75" zoomScaleNormal="75" workbookViewId="0" topLeftCell="A1">
      <selection activeCell="R8" sqref="R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6" width="8.00390625" style="0" hidden="1" customWidth="1"/>
    <col min="7" max="7" width="7.57421875" style="0" hidden="1" customWidth="1"/>
    <col min="8" max="8" width="7.140625" style="0" hidden="1" customWidth="1"/>
    <col min="9" max="9" width="7.57421875" style="0" hidden="1" customWidth="1"/>
    <col min="10" max="12" width="8.00390625" style="0" customWidth="1"/>
    <col min="14" max="14" width="7.57421875" style="0" bestFit="1" customWidth="1"/>
    <col min="15" max="15" width="11.00390625" style="0" bestFit="1" customWidth="1"/>
    <col min="17" max="17" width="10.7109375" style="0" bestFit="1" customWidth="1"/>
    <col min="18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461</v>
      </c>
      <c r="M3" s="57">
        <v>6</v>
      </c>
      <c r="N3" s="9"/>
      <c r="S3" s="1" t="s">
        <v>438</v>
      </c>
    </row>
    <row r="4" spans="2:19" ht="12.75">
      <c r="B4" s="40"/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19" ht="12.75">
      <c r="A7" t="s">
        <v>216</v>
      </c>
      <c r="B7" s="4">
        <v>51.21</v>
      </c>
      <c r="C7" s="2">
        <v>7786</v>
      </c>
      <c r="D7" s="2">
        <v>7017</v>
      </c>
      <c r="E7" s="2">
        <v>4238</v>
      </c>
      <c r="F7" s="2">
        <v>8285</v>
      </c>
      <c r="G7" s="2">
        <v>14467</v>
      </c>
      <c r="H7" s="2">
        <v>14570</v>
      </c>
      <c r="I7" s="2">
        <v>3147</v>
      </c>
      <c r="J7" s="2"/>
      <c r="K7" s="2"/>
      <c r="L7" s="2"/>
      <c r="M7" s="2"/>
      <c r="N7" s="2"/>
      <c r="O7" s="2"/>
      <c r="P7" s="2"/>
      <c r="Q7" s="2"/>
      <c r="R7" s="2"/>
      <c r="S7" s="92" t="e">
        <f>(R7-O7)/O7</f>
        <v>#DIV/0!</v>
      </c>
    </row>
    <row r="8" spans="1:19" ht="12.75">
      <c r="A8" t="s">
        <v>221</v>
      </c>
      <c r="B8" s="4">
        <v>57.1</v>
      </c>
      <c r="C8" s="2">
        <v>35445</v>
      </c>
      <c r="D8" s="2">
        <v>37063</v>
      </c>
      <c r="E8" s="2">
        <v>39655</v>
      </c>
      <c r="F8" s="2">
        <v>49501</v>
      </c>
      <c r="G8" s="2">
        <v>37507</v>
      </c>
      <c r="H8" s="2">
        <v>36444</v>
      </c>
      <c r="I8" s="2">
        <v>47043</v>
      </c>
      <c r="J8" s="2">
        <v>36375</v>
      </c>
      <c r="K8" s="2">
        <v>48250</v>
      </c>
      <c r="L8" s="2">
        <v>55649</v>
      </c>
      <c r="M8" s="2">
        <v>29208</v>
      </c>
      <c r="N8" s="2">
        <v>61666</v>
      </c>
      <c r="O8" s="2">
        <v>61666</v>
      </c>
      <c r="P8" s="2">
        <v>71277</v>
      </c>
      <c r="Q8" s="2">
        <v>55495.2</v>
      </c>
      <c r="R8" s="2">
        <v>71277</v>
      </c>
      <c r="S8" s="92">
        <f>(R8-O8)/O8</f>
        <v>0.15585573898096194</v>
      </c>
    </row>
    <row r="9" spans="1:19" ht="12.75">
      <c r="A9" t="s">
        <v>983</v>
      </c>
      <c r="B9" s="4"/>
      <c r="C9" s="5"/>
      <c r="D9" s="5"/>
      <c r="E9" s="5"/>
      <c r="F9" s="5"/>
      <c r="G9" s="5"/>
      <c r="H9" s="5"/>
      <c r="I9" s="5"/>
      <c r="J9" s="5"/>
      <c r="K9" s="5"/>
      <c r="L9" s="2">
        <v>12063</v>
      </c>
      <c r="M9" s="2"/>
      <c r="N9" s="2"/>
      <c r="O9" s="2"/>
      <c r="P9" s="5"/>
      <c r="Q9" s="5"/>
      <c r="R9" s="5"/>
      <c r="S9" s="52"/>
    </row>
    <row r="10" spans="2:19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</row>
    <row r="11" spans="1:19" ht="12.75">
      <c r="A11" s="6" t="s">
        <v>116</v>
      </c>
      <c r="B11" s="6"/>
      <c r="C11" s="7">
        <f>SUM(C7:C8)</f>
        <v>43231</v>
      </c>
      <c r="D11" s="8">
        <f>SUM(D7:D8)</f>
        <v>44080</v>
      </c>
      <c r="E11" s="8">
        <f>SUM(E7:E10)</f>
        <v>43893</v>
      </c>
      <c r="F11" s="8">
        <f>SUM(F7:F10)</f>
        <v>57786</v>
      </c>
      <c r="G11" s="8">
        <f>SUM(G7:G10)</f>
        <v>51974</v>
      </c>
      <c r="H11" s="8">
        <f>SUM(H7:H10)</f>
        <v>51014</v>
      </c>
      <c r="I11" s="8">
        <f>SUM(I7:I10)</f>
        <v>50190</v>
      </c>
      <c r="J11" s="8">
        <v>36375</v>
      </c>
      <c r="K11" s="8">
        <v>48250</v>
      </c>
      <c r="L11" s="8">
        <v>67712</v>
      </c>
      <c r="M11" s="8">
        <f aca="true" t="shared" si="0" ref="M11:R11">SUM(M7:M10)</f>
        <v>29208</v>
      </c>
      <c r="N11" s="8">
        <f t="shared" si="0"/>
        <v>61666</v>
      </c>
      <c r="O11" s="8">
        <f t="shared" si="0"/>
        <v>61666</v>
      </c>
      <c r="P11" s="8">
        <f t="shared" si="0"/>
        <v>71277</v>
      </c>
      <c r="Q11" s="8">
        <f t="shared" si="0"/>
        <v>55495.2</v>
      </c>
      <c r="R11" s="8">
        <f t="shared" si="0"/>
        <v>71277</v>
      </c>
      <c r="S11" s="53">
        <f>(R11-O11)/O11</f>
        <v>0.15585573898096194</v>
      </c>
    </row>
    <row r="12" ht="12.75">
      <c r="S12" s="52"/>
    </row>
    <row r="13" spans="15:19" ht="12.75">
      <c r="O13" s="22" t="s">
        <v>488</v>
      </c>
      <c r="P13" s="22"/>
      <c r="Q13" s="56">
        <f>P11-Q11</f>
        <v>15781.800000000003</v>
      </c>
      <c r="S13" s="52"/>
    </row>
    <row r="14" spans="15:19" ht="12.75">
      <c r="O14" s="22" t="s">
        <v>761</v>
      </c>
      <c r="P14" s="22"/>
      <c r="Q14" s="56">
        <f>O11-Q11</f>
        <v>6170.800000000003</v>
      </c>
      <c r="S14" s="52"/>
    </row>
    <row r="15" spans="15:19" ht="12.75">
      <c r="O15" s="22" t="s">
        <v>436</v>
      </c>
      <c r="P15" s="22"/>
      <c r="Q15" s="56">
        <f>Q11-R11</f>
        <v>-15781.800000000003</v>
      </c>
      <c r="S15" s="52"/>
    </row>
    <row r="16" spans="1:19" ht="12.75">
      <c r="A16" s="33"/>
      <c r="S16" s="52"/>
    </row>
    <row r="17" spans="1:19" ht="12.75">
      <c r="A17" s="6" t="s">
        <v>1031</v>
      </c>
      <c r="S17" s="52"/>
    </row>
    <row r="18" spans="19:21" ht="12.75">
      <c r="S18" s="52"/>
      <c r="U18" t="s">
        <v>683</v>
      </c>
    </row>
    <row r="19" spans="18:19" ht="12.75">
      <c r="R19" s="2"/>
      <c r="S19" s="52"/>
    </row>
    <row r="20" ht="12.75">
      <c r="S20" s="52"/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55" ht="12.75">
      <c r="Q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</sheetData>
  <printOptions gridLines="1"/>
  <pageMargins left="0.25" right="0.25" top="1" bottom="0.55" header="0.5" footer="0.25"/>
  <pageSetup fitToHeight="1" fitToWidth="1" horizontalDpi="300" verticalDpi="300" orientation="landscape" scale="88" r:id="rId1"/>
  <headerFooter alignWithMargins="0">
    <oddFooter>&amp;L&amp;F
&amp;A&amp;CPage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U81"/>
  <sheetViews>
    <sheetView zoomScale="75" zoomScaleNormal="75" workbookViewId="0" topLeftCell="A1">
      <selection activeCell="T40" sqref="T40"/>
    </sheetView>
  </sheetViews>
  <sheetFormatPr defaultColWidth="9.140625" defaultRowHeight="12.75"/>
  <cols>
    <col min="1" max="1" width="34.00390625" style="0" customWidth="1"/>
    <col min="2" max="2" width="7.7109375" style="0" customWidth="1"/>
    <col min="3" max="3" width="11.7109375" style="0" hidden="1" customWidth="1"/>
    <col min="4" max="4" width="0.13671875" style="0" hidden="1" customWidth="1"/>
    <col min="5" max="5" width="0.2890625" style="0" hidden="1" customWidth="1"/>
    <col min="6" max="6" width="6.421875" style="0" hidden="1" customWidth="1"/>
    <col min="7" max="7" width="7.57421875" style="0" hidden="1" customWidth="1"/>
    <col min="8" max="9" width="6.421875" style="0" hidden="1" customWidth="1"/>
    <col min="10" max="10" width="6.421875" style="0" customWidth="1"/>
    <col min="11" max="12" width="7.7109375" style="0" customWidth="1"/>
    <col min="13" max="13" width="6.8515625" style="0" bestFit="1" customWidth="1"/>
    <col min="14" max="14" width="7.140625" style="0" bestFit="1" customWidth="1"/>
    <col min="15" max="15" width="8.57421875" style="0" customWidth="1"/>
    <col min="16" max="16" width="9.28125" style="0" customWidth="1"/>
    <col min="17" max="17" width="11.00390625" style="0" bestFit="1" customWidth="1"/>
    <col min="18" max="18" width="8.710937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462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s="22" t="s">
        <v>686</v>
      </c>
      <c r="B7" s="4">
        <v>51.11</v>
      </c>
      <c r="C7" s="2">
        <v>428</v>
      </c>
      <c r="D7" s="2">
        <v>671</v>
      </c>
      <c r="E7" s="2"/>
      <c r="F7" s="2"/>
      <c r="G7" s="2">
        <v>3261</v>
      </c>
      <c r="H7" s="2">
        <v>496</v>
      </c>
      <c r="I7" s="2">
        <v>312</v>
      </c>
      <c r="J7" s="2">
        <v>1336</v>
      </c>
      <c r="K7" s="2">
        <v>5249</v>
      </c>
      <c r="L7" s="2">
        <v>4387</v>
      </c>
      <c r="M7" s="2">
        <v>1408</v>
      </c>
      <c r="N7" s="2">
        <f>+M7/$M$3*12</f>
        <v>2816</v>
      </c>
      <c r="O7" s="2">
        <v>4400</v>
      </c>
      <c r="P7" s="2">
        <v>10676</v>
      </c>
      <c r="Q7" s="2">
        <v>4000</v>
      </c>
      <c r="R7" s="2">
        <v>4000</v>
      </c>
      <c r="S7" s="92">
        <f>(R7-O7)/O7</f>
        <v>-0.09090909090909091</v>
      </c>
    </row>
    <row r="8" spans="1:19" ht="12.75" hidden="1">
      <c r="A8" t="s">
        <v>152</v>
      </c>
      <c r="B8" s="4">
        <v>51.13</v>
      </c>
      <c r="C8" s="2"/>
      <c r="D8" s="2"/>
      <c r="E8" s="2"/>
      <c r="F8" s="2"/>
      <c r="G8" s="2">
        <v>902</v>
      </c>
      <c r="H8" s="2"/>
      <c r="I8" s="2"/>
      <c r="J8" s="2"/>
      <c r="K8" s="2"/>
      <c r="L8" s="2"/>
      <c r="M8" s="2"/>
      <c r="N8" s="2">
        <f aca="true" t="shared" si="0" ref="N8:N15">+M8/$M$3*12</f>
        <v>0</v>
      </c>
      <c r="O8" s="2"/>
      <c r="P8" s="2"/>
      <c r="Q8" s="2"/>
      <c r="R8" s="2"/>
      <c r="S8" s="92"/>
    </row>
    <row r="9" spans="1:19" ht="12.75">
      <c r="A9" t="s">
        <v>139</v>
      </c>
      <c r="B9" s="4">
        <v>51.22</v>
      </c>
      <c r="C9" s="2">
        <v>32</v>
      </c>
      <c r="D9" s="2">
        <v>51</v>
      </c>
      <c r="E9" s="2"/>
      <c r="F9" s="2"/>
      <c r="G9" s="2">
        <v>318</v>
      </c>
      <c r="H9" s="2">
        <v>38</v>
      </c>
      <c r="I9" s="2"/>
      <c r="J9" s="2">
        <v>102</v>
      </c>
      <c r="K9" s="2">
        <v>402</v>
      </c>
      <c r="L9" s="2">
        <v>336</v>
      </c>
      <c r="M9" s="2">
        <v>108</v>
      </c>
      <c r="N9" s="2">
        <f t="shared" si="0"/>
        <v>216</v>
      </c>
      <c r="O9" s="2">
        <v>610</v>
      </c>
      <c r="P9" s="2">
        <f>P7*0.0765</f>
        <v>816.7139999999999</v>
      </c>
      <c r="Q9" s="2">
        <f>Q7*0.0765</f>
        <v>306</v>
      </c>
      <c r="R9" s="2">
        <v>306</v>
      </c>
      <c r="S9" s="92">
        <f>(R9-O9)/O9</f>
        <v>-0.49836065573770494</v>
      </c>
    </row>
    <row r="10" spans="1:19" ht="12.75">
      <c r="A10" t="s">
        <v>141</v>
      </c>
      <c r="B10" s="4"/>
      <c r="C10" s="2"/>
      <c r="D10" s="2"/>
      <c r="E10" s="2"/>
      <c r="F10" s="2"/>
      <c r="G10" s="2">
        <v>35</v>
      </c>
      <c r="H10" s="2">
        <v>43</v>
      </c>
      <c r="I10" s="2"/>
      <c r="J10" s="2">
        <v>56</v>
      </c>
      <c r="K10" s="2">
        <v>196</v>
      </c>
      <c r="L10" s="2">
        <v>378</v>
      </c>
      <c r="M10" s="2">
        <v>112</v>
      </c>
      <c r="N10" s="2">
        <f t="shared" si="0"/>
        <v>224</v>
      </c>
      <c r="O10" s="2">
        <v>47.5</v>
      </c>
      <c r="P10" s="2">
        <v>336</v>
      </c>
      <c r="Q10" s="2">
        <v>200</v>
      </c>
      <c r="R10" s="2">
        <v>200</v>
      </c>
      <c r="S10" s="92"/>
    </row>
    <row r="11" spans="1:19" ht="12.75">
      <c r="A11" t="s">
        <v>142</v>
      </c>
      <c r="B11" s="4">
        <v>52.321</v>
      </c>
      <c r="C11" s="2">
        <v>9</v>
      </c>
      <c r="D11" s="2">
        <v>284</v>
      </c>
      <c r="E11" s="2">
        <v>70</v>
      </c>
      <c r="F11" s="2">
        <v>100</v>
      </c>
      <c r="G11" s="2">
        <v>2849</v>
      </c>
      <c r="H11" s="2">
        <v>230</v>
      </c>
      <c r="I11" s="2">
        <v>583</v>
      </c>
      <c r="J11" s="2">
        <v>394</v>
      </c>
      <c r="K11" s="2">
        <v>1804</v>
      </c>
      <c r="L11" s="2">
        <v>1643</v>
      </c>
      <c r="M11" s="2">
        <v>695</v>
      </c>
      <c r="N11" s="2">
        <f t="shared" si="0"/>
        <v>1390</v>
      </c>
      <c r="O11" s="2">
        <v>475</v>
      </c>
      <c r="P11" s="2">
        <v>6270</v>
      </c>
      <c r="Q11" s="2">
        <v>1500</v>
      </c>
      <c r="R11" s="2">
        <v>1500</v>
      </c>
      <c r="S11" s="92">
        <f>(R11-O11)/O11</f>
        <v>2.1578947368421053</v>
      </c>
    </row>
    <row r="12" spans="1:19" ht="12.75">
      <c r="A12" t="s">
        <v>154</v>
      </c>
      <c r="B12" s="4">
        <v>52.35</v>
      </c>
      <c r="C12" s="2">
        <v>1730</v>
      </c>
      <c r="D12" s="2">
        <v>2964</v>
      </c>
      <c r="E12" s="2">
        <v>377</v>
      </c>
      <c r="F12" s="2">
        <v>1227</v>
      </c>
      <c r="G12" s="2">
        <v>1918</v>
      </c>
      <c r="H12" s="2">
        <v>2765</v>
      </c>
      <c r="I12" s="2">
        <v>1530</v>
      </c>
      <c r="J12" s="2">
        <v>2835</v>
      </c>
      <c r="K12" s="2">
        <v>1960</v>
      </c>
      <c r="L12" s="2">
        <f>1801+80</f>
        <v>1881</v>
      </c>
      <c r="M12" s="2">
        <v>1065</v>
      </c>
      <c r="N12" s="2">
        <f t="shared" si="0"/>
        <v>2130</v>
      </c>
      <c r="O12" s="2">
        <v>1425</v>
      </c>
      <c r="P12" s="2">
        <v>3050</v>
      </c>
      <c r="Q12" s="2">
        <v>1500</v>
      </c>
      <c r="R12" s="2">
        <v>1500</v>
      </c>
      <c r="S12" s="92">
        <f>(R12-O12)/O12</f>
        <v>0.05263157894736842</v>
      </c>
    </row>
    <row r="13" spans="1:20" ht="12.75">
      <c r="A13" t="s">
        <v>640</v>
      </c>
      <c r="B13" s="4">
        <v>52.362</v>
      </c>
      <c r="C13" s="2"/>
      <c r="D13" s="2"/>
      <c r="E13" s="2"/>
      <c r="F13" s="2">
        <v>1532</v>
      </c>
      <c r="G13" s="2">
        <v>9071</v>
      </c>
      <c r="H13" s="2">
        <v>3233</v>
      </c>
      <c r="I13" s="2">
        <v>24</v>
      </c>
      <c r="J13" s="2">
        <v>2500</v>
      </c>
      <c r="K13" s="2">
        <v>6350</v>
      </c>
      <c r="L13" s="2">
        <v>195</v>
      </c>
      <c r="M13" s="2">
        <v>1975</v>
      </c>
      <c r="N13" s="2">
        <f t="shared" si="0"/>
        <v>3950</v>
      </c>
      <c r="O13" s="2">
        <v>3325</v>
      </c>
      <c r="P13" s="2">
        <v>20500</v>
      </c>
      <c r="Q13" s="2">
        <v>4000</v>
      </c>
      <c r="R13" s="2">
        <v>4000</v>
      </c>
      <c r="S13" s="92"/>
      <c r="T13" t="s">
        <v>376</v>
      </c>
    </row>
    <row r="14" spans="1:19" ht="12.75">
      <c r="A14" t="s">
        <v>563</v>
      </c>
      <c r="B14" s="4"/>
      <c r="C14" s="2"/>
      <c r="D14" s="2"/>
      <c r="E14" s="2"/>
      <c r="F14" s="2"/>
      <c r="G14" s="2">
        <v>60</v>
      </c>
      <c r="H14" s="2">
        <v>240</v>
      </c>
      <c r="I14" s="2"/>
      <c r="J14" s="2">
        <v>285</v>
      </c>
      <c r="K14" s="2">
        <v>298</v>
      </c>
      <c r="L14" s="2">
        <v>3000</v>
      </c>
      <c r="M14" s="2"/>
      <c r="N14" s="2">
        <f t="shared" si="0"/>
        <v>0</v>
      </c>
      <c r="O14" s="2">
        <v>190</v>
      </c>
      <c r="P14" s="2">
        <v>235</v>
      </c>
      <c r="Q14" s="2">
        <v>235</v>
      </c>
      <c r="R14" s="2">
        <v>235</v>
      </c>
      <c r="S14" s="92"/>
    </row>
    <row r="15" spans="1:19" ht="12.75">
      <c r="A15" t="s">
        <v>149</v>
      </c>
      <c r="B15" s="4">
        <v>53.171</v>
      </c>
      <c r="C15" s="2">
        <v>14</v>
      </c>
      <c r="D15" s="2">
        <v>107</v>
      </c>
      <c r="E15" s="2"/>
      <c r="F15" s="2">
        <v>15</v>
      </c>
      <c r="G15" s="2">
        <v>380</v>
      </c>
      <c r="H15" s="2">
        <v>50</v>
      </c>
      <c r="I15" s="2">
        <v>12</v>
      </c>
      <c r="J15" s="2">
        <v>27</v>
      </c>
      <c r="K15" s="2">
        <v>48</v>
      </c>
      <c r="L15" s="2">
        <v>45</v>
      </c>
      <c r="M15" s="2"/>
      <c r="N15" s="2">
        <f t="shared" si="0"/>
        <v>0</v>
      </c>
      <c r="O15" s="2">
        <v>47.5</v>
      </c>
      <c r="P15" s="2">
        <v>1800</v>
      </c>
      <c r="Q15" s="2">
        <v>50</v>
      </c>
      <c r="R15" s="2">
        <v>50</v>
      </c>
      <c r="S15" s="92">
        <f>(R15-O15)/O15</f>
        <v>0.05263157894736842</v>
      </c>
    </row>
    <row r="16" spans="2:19" ht="12.7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2"/>
    </row>
    <row r="17" spans="1:19" ht="12.75">
      <c r="A17" s="6" t="s">
        <v>116</v>
      </c>
      <c r="B17" s="6"/>
      <c r="C17" s="7">
        <f>SUM(C7:C15)</f>
        <v>2213</v>
      </c>
      <c r="D17" s="8">
        <f>SUM(D7:D15)</f>
        <v>4077</v>
      </c>
      <c r="E17" s="8">
        <f>SUM(E7:E16)</f>
        <v>447</v>
      </c>
      <c r="F17" s="8">
        <f>SUM(F7:F16)</f>
        <v>2874</v>
      </c>
      <c r="G17" s="8">
        <f>SUM(G7:G16)</f>
        <v>18794</v>
      </c>
      <c r="H17" s="8">
        <f>SUM(H7:H16)</f>
        <v>7095</v>
      </c>
      <c r="I17" s="8">
        <f>SUM(I7:I16)</f>
        <v>2461</v>
      </c>
      <c r="J17" s="8">
        <v>7550</v>
      </c>
      <c r="K17" s="8">
        <f aca="true" t="shared" si="1" ref="K17:R17">SUM(K7:K16)</f>
        <v>16307</v>
      </c>
      <c r="L17" s="8">
        <v>11865</v>
      </c>
      <c r="M17" s="8">
        <f t="shared" si="1"/>
        <v>5363</v>
      </c>
      <c r="N17" s="8">
        <f t="shared" si="1"/>
        <v>10726</v>
      </c>
      <c r="O17" s="8">
        <f t="shared" si="1"/>
        <v>10520</v>
      </c>
      <c r="P17" s="8">
        <f t="shared" si="1"/>
        <v>43683.714</v>
      </c>
      <c r="Q17" s="8">
        <f t="shared" si="1"/>
        <v>11791</v>
      </c>
      <c r="R17" s="8">
        <f t="shared" si="1"/>
        <v>11791</v>
      </c>
      <c r="S17" s="96">
        <f>(R17-O17)/O17</f>
        <v>0.12081749049429658</v>
      </c>
    </row>
    <row r="18" ht="12.75">
      <c r="S18" s="52"/>
    </row>
    <row r="19" spans="16:19" ht="12.75">
      <c r="P19" s="137" t="s">
        <v>488</v>
      </c>
      <c r="Q19" s="56">
        <f>P17-Q17</f>
        <v>31892.714</v>
      </c>
      <c r="S19" s="52"/>
    </row>
    <row r="20" spans="16:21" ht="12.75">
      <c r="P20" s="137" t="s">
        <v>761</v>
      </c>
      <c r="Q20" s="56">
        <f>O17-Q17</f>
        <v>-1271</v>
      </c>
      <c r="S20" s="52"/>
      <c r="U20" t="s">
        <v>683</v>
      </c>
    </row>
    <row r="21" spans="16:19" ht="12.75">
      <c r="P21" s="137" t="s">
        <v>436</v>
      </c>
      <c r="Q21" s="56">
        <f>Q17-R17</f>
        <v>0</v>
      </c>
      <c r="S21" s="52"/>
    </row>
    <row r="22" ht="12.75">
      <c r="S22" s="52"/>
    </row>
    <row r="23" ht="12.75">
      <c r="S23" s="52"/>
    </row>
    <row r="24" spans="1:19" ht="12.75">
      <c r="A24" t="s">
        <v>517</v>
      </c>
      <c r="B24" t="s">
        <v>641</v>
      </c>
      <c r="S24" s="52"/>
    </row>
    <row r="25" ht="12.75">
      <c r="S25" s="52"/>
    </row>
    <row r="26" spans="1:19" ht="12.75">
      <c r="A26" s="6" t="s">
        <v>1016</v>
      </c>
      <c r="S26" s="52"/>
    </row>
    <row r="27" ht="12.75">
      <c r="S27" s="52"/>
    </row>
    <row r="28" spans="1:19" ht="12.75">
      <c r="A28" s="6"/>
      <c r="S28" s="52"/>
    </row>
    <row r="29" spans="1:19" ht="12.75">
      <c r="A29" s="6"/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6" ht="12.75">
      <c r="S76" s="2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</sheetData>
  <printOptions gridLines="1"/>
  <pageMargins left="0.25" right="0.25" top="1" bottom="0.55" header="0.5" footer="0.25"/>
  <pageSetup fitToHeight="1" fitToWidth="1" horizontalDpi="300" verticalDpi="300" orientation="landscape" scale="94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114"/>
  <sheetViews>
    <sheetView zoomScale="75" zoomScaleNormal="75" workbookViewId="0" topLeftCell="A2">
      <pane ySplit="1155" topLeftCell="BM7" activePane="bottomLeft" state="split"/>
      <selection pane="topLeft" activeCell="M2" sqref="M1:O16384"/>
      <selection pane="bottomLeft" activeCell="V13" sqref="V13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9" width="10.421875" style="0" hidden="1" customWidth="1"/>
    <col min="10" max="12" width="10.421875" style="0" customWidth="1"/>
    <col min="13" max="13" width="10.421875" style="0" bestFit="1" customWidth="1"/>
    <col min="14" max="14" width="10.8515625" style="0" bestFit="1" customWidth="1"/>
    <col min="15" max="15" width="11.00390625" style="0" bestFit="1" customWidth="1"/>
    <col min="16" max="16" width="10.00390625" style="0" customWidth="1"/>
    <col min="17" max="18" width="10.8515625" style="0" bestFit="1" customWidth="1"/>
    <col min="19" max="19" width="8.57421875" style="0" customWidth="1"/>
    <col min="20" max="20" width="11.7109375" style="0" customWidth="1"/>
  </cols>
  <sheetData>
    <row r="1" ht="12.75">
      <c r="A1" t="s">
        <v>106</v>
      </c>
    </row>
    <row r="2" spans="1:15" ht="12.75">
      <c r="A2" t="s">
        <v>107</v>
      </c>
      <c r="N2" s="170"/>
      <c r="O2" s="170"/>
    </row>
    <row r="3" spans="1:19" ht="12.75">
      <c r="A3" s="6" t="s">
        <v>463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s="61" t="s">
        <v>118</v>
      </c>
      <c r="B6" s="61"/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21" ht="12.75">
      <c r="A7" s="22" t="s">
        <v>686</v>
      </c>
      <c r="B7" s="4">
        <v>51.11</v>
      </c>
      <c r="C7" s="2">
        <v>599080</v>
      </c>
      <c r="D7" s="2">
        <v>611725</v>
      </c>
      <c r="E7" s="2">
        <v>610563</v>
      </c>
      <c r="F7" s="2">
        <v>714694</v>
      </c>
      <c r="G7" s="2">
        <v>756554</v>
      </c>
      <c r="H7" s="2">
        <v>773809</v>
      </c>
      <c r="I7" s="2">
        <v>813948</v>
      </c>
      <c r="J7" s="2">
        <v>891737</v>
      </c>
      <c r="K7" s="2">
        <v>883390</v>
      </c>
      <c r="L7" s="2">
        <v>915602.6</v>
      </c>
      <c r="M7" s="2">
        <v>744137</v>
      </c>
      <c r="N7" s="2">
        <f>+M7/$M$3*12</f>
        <v>892964.3999999999</v>
      </c>
      <c r="O7" s="2">
        <v>995478.2523249995</v>
      </c>
      <c r="P7" s="20">
        <f>961622.67+2600</f>
        <v>964222.67</v>
      </c>
      <c r="Q7" s="20">
        <f>961622.67+2600</f>
        <v>964222.67</v>
      </c>
      <c r="R7" s="20">
        <f>961622.67+2600</f>
        <v>964222.67</v>
      </c>
      <c r="S7" s="92">
        <f aca="true" t="shared" si="0" ref="S7:S13">(R7-O7)/O7</f>
        <v>-0.031397554142443794</v>
      </c>
      <c r="T7" s="20" t="s">
        <v>376</v>
      </c>
      <c r="U7" s="6"/>
    </row>
    <row r="8" spans="1:20" ht="12.75">
      <c r="A8" t="s">
        <v>671</v>
      </c>
      <c r="B8" s="4">
        <v>51.1105</v>
      </c>
      <c r="C8" s="2"/>
      <c r="D8" s="2"/>
      <c r="E8" s="2"/>
      <c r="F8" s="2"/>
      <c r="G8" s="2"/>
      <c r="H8" s="2"/>
      <c r="I8" s="2">
        <v>641</v>
      </c>
      <c r="J8" s="2">
        <v>16006</v>
      </c>
      <c r="K8" s="2">
        <v>41419</v>
      </c>
      <c r="L8" s="2">
        <v>50683</v>
      </c>
      <c r="M8" s="2">
        <v>60437</v>
      </c>
      <c r="N8" s="2">
        <f>+M8/$M$3*12</f>
        <v>72524.4</v>
      </c>
      <c r="O8" s="2">
        <v>40000</v>
      </c>
      <c r="P8" s="2">
        <v>40000</v>
      </c>
      <c r="Q8" s="2">
        <v>40000</v>
      </c>
      <c r="R8" s="2">
        <v>40000</v>
      </c>
      <c r="S8" s="92">
        <f t="shared" si="0"/>
        <v>0</v>
      </c>
      <c r="T8" s="2" t="s">
        <v>582</v>
      </c>
    </row>
    <row r="9" spans="1:20" ht="12.75">
      <c r="A9" t="s">
        <v>744</v>
      </c>
      <c r="B9" s="4">
        <v>51.1136</v>
      </c>
      <c r="C9" s="2"/>
      <c r="D9" s="2"/>
      <c r="E9" s="2"/>
      <c r="F9" s="2"/>
      <c r="G9" s="2"/>
      <c r="H9" s="2"/>
      <c r="I9" s="2"/>
      <c r="J9" s="2">
        <v>13043</v>
      </c>
      <c r="K9" s="2">
        <v>6595</v>
      </c>
      <c r="L9" s="2">
        <v>7344</v>
      </c>
      <c r="M9" s="2">
        <v>0</v>
      </c>
      <c r="N9" s="2">
        <v>10000</v>
      </c>
      <c r="O9" s="2">
        <v>13000</v>
      </c>
      <c r="P9" s="2">
        <v>10080</v>
      </c>
      <c r="Q9" s="2">
        <v>10079.85</v>
      </c>
      <c r="R9" s="2">
        <v>10079.85</v>
      </c>
      <c r="S9" s="92">
        <f t="shared" si="0"/>
        <v>-0.22462692307692306</v>
      </c>
      <c r="T9" s="2"/>
    </row>
    <row r="10" spans="1:19" ht="12.75">
      <c r="A10" t="s">
        <v>152</v>
      </c>
      <c r="B10" s="4">
        <v>51.13</v>
      </c>
      <c r="C10" s="2">
        <v>46636</v>
      </c>
      <c r="D10" s="2">
        <v>61060</v>
      </c>
      <c r="E10" s="2">
        <v>51657</v>
      </c>
      <c r="F10" s="2">
        <v>37053</v>
      </c>
      <c r="G10" s="2">
        <v>35076</v>
      </c>
      <c r="H10" s="2">
        <v>36530</v>
      </c>
      <c r="I10" s="2">
        <v>44726</v>
      </c>
      <c r="J10" s="2">
        <v>46064</v>
      </c>
      <c r="K10" s="2">
        <v>40941</v>
      </c>
      <c r="L10" s="2">
        <v>40569</v>
      </c>
      <c r="M10" s="2">
        <v>30657</v>
      </c>
      <c r="N10" s="2">
        <f>+M10/$M$3*12</f>
        <v>36788.399999999994</v>
      </c>
      <c r="O10" s="2">
        <v>46000</v>
      </c>
      <c r="P10" s="2">
        <v>40000</v>
      </c>
      <c r="Q10" s="2">
        <v>40000</v>
      </c>
      <c r="R10" s="2">
        <v>40000</v>
      </c>
      <c r="S10" s="92">
        <f t="shared" si="0"/>
        <v>-0.13043478260869565</v>
      </c>
    </row>
    <row r="11" spans="1:20" ht="12.75">
      <c r="A11" t="s">
        <v>948</v>
      </c>
      <c r="B11" s="4">
        <v>51.21</v>
      </c>
      <c r="C11" s="2">
        <v>48322</v>
      </c>
      <c r="D11" s="2">
        <v>54628</v>
      </c>
      <c r="E11" s="2">
        <v>66385</v>
      </c>
      <c r="F11" s="2">
        <v>63605</v>
      </c>
      <c r="G11" s="2">
        <v>68196</v>
      </c>
      <c r="H11" s="2">
        <v>68096</v>
      </c>
      <c r="I11" s="2">
        <v>71522</v>
      </c>
      <c r="J11" s="2">
        <v>82317</v>
      </c>
      <c r="K11" s="2">
        <v>100362</v>
      </c>
      <c r="L11" s="2">
        <f>104997-31</f>
        <v>104966</v>
      </c>
      <c r="M11" s="2">
        <v>85464</v>
      </c>
      <c r="N11" s="2">
        <f>+M11/$M$3*12</f>
        <v>102556.79999999999</v>
      </c>
      <c r="O11" s="31">
        <v>134400</v>
      </c>
      <c r="P11" s="31">
        <v>132840</v>
      </c>
      <c r="Q11" s="31">
        <f>27*4920</f>
        <v>132840</v>
      </c>
      <c r="R11" s="31">
        <f>27*4920</f>
        <v>132840</v>
      </c>
      <c r="S11" s="92">
        <f t="shared" si="0"/>
        <v>-0.011607142857142858</v>
      </c>
      <c r="T11" s="33" t="s">
        <v>601</v>
      </c>
    </row>
    <row r="12" spans="1:21" ht="12.75">
      <c r="A12" t="s">
        <v>139</v>
      </c>
      <c r="B12" s="4">
        <v>51.22</v>
      </c>
      <c r="C12" s="2">
        <v>47775</v>
      </c>
      <c r="D12" s="2">
        <v>49989</v>
      </c>
      <c r="E12" s="2">
        <v>48967</v>
      </c>
      <c r="F12" s="2">
        <v>57540</v>
      </c>
      <c r="G12" s="2">
        <v>59043</v>
      </c>
      <c r="H12" s="2">
        <v>60145</v>
      </c>
      <c r="I12" s="2">
        <v>63386</v>
      </c>
      <c r="J12" s="2">
        <v>70661</v>
      </c>
      <c r="K12" s="2">
        <v>71288</v>
      </c>
      <c r="L12" s="2">
        <v>74865.89</v>
      </c>
      <c r="M12" s="2">
        <v>61766</v>
      </c>
      <c r="N12" s="2">
        <f>+M12/$M$3*12</f>
        <v>74119.20000000001</v>
      </c>
      <c r="O12" s="2">
        <v>83727.58630286246</v>
      </c>
      <c r="P12" s="20">
        <f>(P7+P8+P9+P10)*0.0765</f>
        <v>80654.15425499999</v>
      </c>
      <c r="Q12" s="20">
        <f>(Q7+Q8+Q9+Q10)*0.0765</f>
        <v>80654.14278</v>
      </c>
      <c r="R12" s="20">
        <f>(R7+R8+R9+R10)*0.0765</f>
        <v>80654.14278</v>
      </c>
      <c r="S12" s="92">
        <f t="shared" si="0"/>
        <v>-0.036707657040835895</v>
      </c>
      <c r="T12" s="33"/>
      <c r="U12" s="6"/>
    </row>
    <row r="13" spans="1:19" ht="12.75">
      <c r="A13" t="s">
        <v>153</v>
      </c>
      <c r="B13" s="4">
        <v>51.24</v>
      </c>
      <c r="C13" s="2">
        <v>8950</v>
      </c>
      <c r="D13" s="2">
        <v>9373</v>
      </c>
      <c r="E13" s="2">
        <v>6541</v>
      </c>
      <c r="F13" s="2">
        <v>6369</v>
      </c>
      <c r="G13" s="2">
        <v>7292</v>
      </c>
      <c r="H13" s="2">
        <v>7471</v>
      </c>
      <c r="I13" s="2">
        <v>9256</v>
      </c>
      <c r="J13" s="2">
        <v>12280</v>
      </c>
      <c r="K13" s="2">
        <v>14073</v>
      </c>
      <c r="L13" s="2">
        <v>14770</v>
      </c>
      <c r="M13" s="2">
        <v>4798</v>
      </c>
      <c r="N13" s="2">
        <v>4798</v>
      </c>
      <c r="O13" s="2">
        <v>16000</v>
      </c>
      <c r="P13" s="2">
        <v>13000</v>
      </c>
      <c r="Q13" s="2">
        <v>13000</v>
      </c>
      <c r="R13" s="2">
        <v>13000</v>
      </c>
      <c r="S13" s="92">
        <f t="shared" si="0"/>
        <v>-0.1875</v>
      </c>
    </row>
    <row r="14" spans="1:19" ht="12.75">
      <c r="A14" t="s">
        <v>740</v>
      </c>
      <c r="B14" s="4">
        <v>51.26</v>
      </c>
      <c r="C14" s="2"/>
      <c r="D14" s="2"/>
      <c r="E14" s="2"/>
      <c r="F14" s="2"/>
      <c r="G14" s="2"/>
      <c r="H14" s="2"/>
      <c r="I14" s="2"/>
      <c r="J14" s="2"/>
      <c r="K14" s="2">
        <v>271</v>
      </c>
      <c r="L14" s="2">
        <v>2880</v>
      </c>
      <c r="M14" s="2"/>
      <c r="N14" s="2"/>
      <c r="O14" s="2"/>
      <c r="P14" s="2"/>
      <c r="Q14" s="2"/>
      <c r="R14" s="2"/>
      <c r="S14" s="92"/>
    </row>
    <row r="15" spans="2:19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</row>
    <row r="16" spans="1:20" ht="12.75">
      <c r="A16" t="s">
        <v>793</v>
      </c>
      <c r="B16" s="4">
        <v>52.1207</v>
      </c>
      <c r="C16" s="2"/>
      <c r="D16" s="2"/>
      <c r="E16" s="2"/>
      <c r="F16" s="2"/>
      <c r="G16" s="2"/>
      <c r="H16" s="2"/>
      <c r="I16" s="2"/>
      <c r="J16" s="2"/>
      <c r="K16" s="2">
        <v>578</v>
      </c>
      <c r="L16" s="2"/>
      <c r="M16" s="2"/>
      <c r="N16" s="2">
        <v>320</v>
      </c>
      <c r="O16" s="2">
        <v>320</v>
      </c>
      <c r="P16" s="2">
        <v>320</v>
      </c>
      <c r="Q16" s="2">
        <v>320</v>
      </c>
      <c r="R16" s="2">
        <v>320</v>
      </c>
      <c r="S16" s="92"/>
      <c r="T16" t="s">
        <v>794</v>
      </c>
    </row>
    <row r="17" spans="1:19" ht="12.75">
      <c r="A17" t="s">
        <v>206</v>
      </c>
      <c r="B17" s="4">
        <v>52.121</v>
      </c>
      <c r="C17" s="2"/>
      <c r="D17" s="2"/>
      <c r="E17" s="2"/>
      <c r="F17" s="2"/>
      <c r="G17" s="2"/>
      <c r="H17" s="2"/>
      <c r="I17" s="2">
        <v>69</v>
      </c>
      <c r="J17" s="2">
        <v>875</v>
      </c>
      <c r="K17" s="2"/>
      <c r="L17" s="2"/>
      <c r="M17" s="2">
        <v>1615</v>
      </c>
      <c r="N17" s="2">
        <v>1000</v>
      </c>
      <c r="O17" s="2">
        <v>1000</v>
      </c>
      <c r="P17" s="2">
        <v>1000</v>
      </c>
      <c r="Q17" s="2">
        <v>1000</v>
      </c>
      <c r="R17" s="2">
        <v>1000</v>
      </c>
      <c r="S17" s="92"/>
    </row>
    <row r="18" spans="1:19" ht="12.75">
      <c r="A18" t="s">
        <v>572</v>
      </c>
      <c r="B18" s="4">
        <v>52.1211</v>
      </c>
      <c r="C18" s="2"/>
      <c r="D18" s="2"/>
      <c r="E18" s="2"/>
      <c r="F18" s="2"/>
      <c r="G18" s="2"/>
      <c r="H18" s="2"/>
      <c r="I18" s="2"/>
      <c r="J18" s="2">
        <v>413</v>
      </c>
      <c r="K18" s="2">
        <v>1538</v>
      </c>
      <c r="L18" s="2">
        <v>250</v>
      </c>
      <c r="M18" s="2"/>
      <c r="N18" s="2"/>
      <c r="O18" s="2"/>
      <c r="P18" s="2">
        <v>250</v>
      </c>
      <c r="Q18" s="2"/>
      <c r="R18" s="2"/>
      <c r="S18" s="92"/>
    </row>
    <row r="19" spans="1:19" ht="12.75">
      <c r="A19" t="s">
        <v>224</v>
      </c>
      <c r="B19" s="4">
        <v>52.1303</v>
      </c>
      <c r="C19" s="2"/>
      <c r="D19" s="2"/>
      <c r="E19" s="2">
        <v>210</v>
      </c>
      <c r="F19" s="2">
        <v>225</v>
      </c>
      <c r="G19" s="2">
        <v>225</v>
      </c>
      <c r="H19" s="2">
        <v>354</v>
      </c>
      <c r="I19" s="2">
        <v>260</v>
      </c>
      <c r="J19" s="2">
        <v>275</v>
      </c>
      <c r="K19" s="2">
        <v>300</v>
      </c>
      <c r="L19" s="2">
        <v>350</v>
      </c>
      <c r="M19" s="2">
        <v>350</v>
      </c>
      <c r="N19" s="2">
        <v>350</v>
      </c>
      <c r="O19" s="2">
        <v>425</v>
      </c>
      <c r="P19" s="2">
        <v>475</v>
      </c>
      <c r="Q19" s="2">
        <v>475</v>
      </c>
      <c r="R19" s="2">
        <v>475</v>
      </c>
      <c r="S19" s="92">
        <f>(R19-O19)/O19</f>
        <v>0.11764705882352941</v>
      </c>
    </row>
    <row r="20" spans="1:20" ht="12.75">
      <c r="A20" t="s">
        <v>670</v>
      </c>
      <c r="B20" s="4">
        <v>52.1304</v>
      </c>
      <c r="C20" s="2">
        <v>10587</v>
      </c>
      <c r="D20" s="2">
        <v>11930</v>
      </c>
      <c r="E20" s="2">
        <v>2400</v>
      </c>
      <c r="F20" s="2">
        <v>3087</v>
      </c>
      <c r="G20" s="2">
        <v>2400</v>
      </c>
      <c r="H20" s="2">
        <v>2507</v>
      </c>
      <c r="I20" s="2">
        <v>2276</v>
      </c>
      <c r="J20" s="2">
        <v>4770</v>
      </c>
      <c r="K20" s="2"/>
      <c r="L20" s="2"/>
      <c r="M20" s="2"/>
      <c r="N20" s="2">
        <f aca="true" t="shared" si="1" ref="N20:N47">+M20/$M$3*12</f>
        <v>0</v>
      </c>
      <c r="O20" s="2"/>
      <c r="P20" s="2"/>
      <c r="Q20" s="2"/>
      <c r="R20" s="2"/>
      <c r="S20" s="92" t="e">
        <f>(R20-O20)/O20</f>
        <v>#DIV/0!</v>
      </c>
      <c r="T20" t="s">
        <v>774</v>
      </c>
    </row>
    <row r="21" spans="1:19" ht="12.75">
      <c r="A21" t="s">
        <v>225</v>
      </c>
      <c r="B21" s="4">
        <v>52.1318</v>
      </c>
      <c r="C21" s="2">
        <v>2730</v>
      </c>
      <c r="D21" s="2">
        <v>1567</v>
      </c>
      <c r="E21" s="2">
        <v>2447</v>
      </c>
      <c r="F21" s="2">
        <v>5488</v>
      </c>
      <c r="G21" s="2">
        <v>3539</v>
      </c>
      <c r="H21" s="2">
        <v>3940</v>
      </c>
      <c r="I21" s="2">
        <v>3551</v>
      </c>
      <c r="J21" s="2">
        <v>5089</v>
      </c>
      <c r="K21" s="2">
        <v>3997</v>
      </c>
      <c r="L21" s="2">
        <v>2736</v>
      </c>
      <c r="M21" s="2">
        <v>1316</v>
      </c>
      <c r="N21" s="2">
        <f t="shared" si="1"/>
        <v>1579.1999999999998</v>
      </c>
      <c r="O21" s="2">
        <v>3000</v>
      </c>
      <c r="P21" s="2">
        <v>3000</v>
      </c>
      <c r="Q21" s="2">
        <v>2800</v>
      </c>
      <c r="R21" s="2">
        <v>2800</v>
      </c>
      <c r="S21" s="92">
        <f>(R21-O21)/O21</f>
        <v>-0.06666666666666667</v>
      </c>
    </row>
    <row r="22" spans="1:19" ht="12.75">
      <c r="A22" t="s">
        <v>745</v>
      </c>
      <c r="B22" s="4">
        <v>52.1321</v>
      </c>
      <c r="C22" s="2"/>
      <c r="D22" s="2"/>
      <c r="E22" s="2"/>
      <c r="F22" s="2"/>
      <c r="G22" s="2"/>
      <c r="H22" s="2"/>
      <c r="I22" s="2"/>
      <c r="J22" s="2">
        <v>125</v>
      </c>
      <c r="K22" s="2">
        <v>123</v>
      </c>
      <c r="L22" s="2">
        <v>105</v>
      </c>
      <c r="M22" s="2"/>
      <c r="N22" s="2">
        <f t="shared" si="1"/>
        <v>0</v>
      </c>
      <c r="O22" s="2">
        <v>200</v>
      </c>
      <c r="P22" s="2">
        <v>200</v>
      </c>
      <c r="Q22" s="2">
        <v>150</v>
      </c>
      <c r="R22" s="2">
        <v>150</v>
      </c>
      <c r="S22" s="92"/>
    </row>
    <row r="23" spans="1:19" ht="12.75">
      <c r="A23" t="s">
        <v>746</v>
      </c>
      <c r="B23" s="4">
        <v>52.2201</v>
      </c>
      <c r="C23" s="2"/>
      <c r="D23" s="2"/>
      <c r="E23" s="2"/>
      <c r="F23" s="2"/>
      <c r="G23" s="2"/>
      <c r="H23" s="2"/>
      <c r="I23" s="2"/>
      <c r="J23" s="2">
        <v>160</v>
      </c>
      <c r="K23" s="2"/>
      <c r="L23" s="2"/>
      <c r="M23" s="2"/>
      <c r="N23" s="2"/>
      <c r="O23" s="2"/>
      <c r="P23" s="2"/>
      <c r="Q23" s="2"/>
      <c r="R23" s="2"/>
      <c r="S23" s="92"/>
    </row>
    <row r="24" spans="1:19" ht="12.75">
      <c r="A24" t="s">
        <v>162</v>
      </c>
      <c r="B24" s="4">
        <v>52.2204</v>
      </c>
      <c r="C24" s="2"/>
      <c r="D24" s="2"/>
      <c r="E24" s="2">
        <v>1276</v>
      </c>
      <c r="F24" s="2">
        <v>577</v>
      </c>
      <c r="G24" s="2">
        <v>1588</v>
      </c>
      <c r="H24" s="2">
        <v>2360</v>
      </c>
      <c r="I24" s="2">
        <v>555</v>
      </c>
      <c r="J24" s="2">
        <f>89+990</f>
        <v>1079</v>
      </c>
      <c r="K24" s="2">
        <v>1097</v>
      </c>
      <c r="L24" s="2">
        <v>1079</v>
      </c>
      <c r="M24" s="2">
        <v>855</v>
      </c>
      <c r="N24" s="2">
        <f t="shared" si="1"/>
        <v>1026</v>
      </c>
      <c r="O24" s="2">
        <v>1000</v>
      </c>
      <c r="P24" s="2">
        <v>1140</v>
      </c>
      <c r="Q24" s="2">
        <v>1140</v>
      </c>
      <c r="R24" s="2">
        <v>1140</v>
      </c>
      <c r="S24" s="92">
        <f>(R24-O24)/O24</f>
        <v>0.14</v>
      </c>
    </row>
    <row r="25" spans="1:19" ht="12.75">
      <c r="A25" t="s">
        <v>185</v>
      </c>
      <c r="B25" s="4">
        <v>52.2206</v>
      </c>
      <c r="C25" s="2">
        <v>6786</v>
      </c>
      <c r="D25" s="2">
        <v>2513</v>
      </c>
      <c r="E25" s="2">
        <v>5492</v>
      </c>
      <c r="F25" s="2">
        <v>2492</v>
      </c>
      <c r="G25" s="2">
        <v>1704</v>
      </c>
      <c r="H25" s="2">
        <v>2048</v>
      </c>
      <c r="I25" s="2">
        <v>2230</v>
      </c>
      <c r="J25" s="2">
        <v>1120</v>
      </c>
      <c r="K25" s="2">
        <v>4326</v>
      </c>
      <c r="L25" s="2">
        <f>3490+155</f>
        <v>3645</v>
      </c>
      <c r="M25" s="2">
        <v>2912</v>
      </c>
      <c r="N25" s="2">
        <f t="shared" si="1"/>
        <v>3494.3999999999996</v>
      </c>
      <c r="O25" s="2">
        <v>2500</v>
      </c>
      <c r="P25" s="2">
        <v>4000</v>
      </c>
      <c r="Q25" s="2">
        <v>4000</v>
      </c>
      <c r="R25" s="2">
        <v>4000</v>
      </c>
      <c r="S25" s="92">
        <f>(R25-O25)/O25</f>
        <v>0.6</v>
      </c>
    </row>
    <row r="26" spans="1:19" ht="12.75" hidden="1">
      <c r="A26" t="s">
        <v>226</v>
      </c>
      <c r="B26" s="4">
        <v>52.2322</v>
      </c>
      <c r="C26" s="2"/>
      <c r="D26" s="2"/>
      <c r="E26" s="2">
        <v>2000</v>
      </c>
      <c r="F26" s="2">
        <v>2400</v>
      </c>
      <c r="G26" s="2">
        <v>2400</v>
      </c>
      <c r="H26" s="2">
        <v>2200</v>
      </c>
      <c r="I26" s="2">
        <v>1404</v>
      </c>
      <c r="J26" s="2"/>
      <c r="K26" s="2"/>
      <c r="L26" s="2"/>
      <c r="M26" s="2"/>
      <c r="N26" s="2">
        <f t="shared" si="1"/>
        <v>0</v>
      </c>
      <c r="O26" s="2"/>
      <c r="P26" s="2"/>
      <c r="Q26" s="2"/>
      <c r="R26" s="2"/>
      <c r="S26" s="92"/>
    </row>
    <row r="27" spans="1:19" ht="12.75">
      <c r="A27" t="s">
        <v>141</v>
      </c>
      <c r="B27" s="4">
        <v>52.32</v>
      </c>
      <c r="C27" s="2">
        <v>16546</v>
      </c>
      <c r="D27" s="2">
        <v>12012</v>
      </c>
      <c r="E27" s="2">
        <v>12432</v>
      </c>
      <c r="F27" s="2">
        <v>15273</v>
      </c>
      <c r="G27" s="2">
        <v>14737</v>
      </c>
      <c r="H27" s="2">
        <v>18057</v>
      </c>
      <c r="I27" s="2">
        <v>17768</v>
      </c>
      <c r="J27" s="2">
        <v>19216</v>
      </c>
      <c r="K27" s="2">
        <v>21272</v>
      </c>
      <c r="L27" s="2">
        <v>20872</v>
      </c>
      <c r="M27" s="2">
        <v>16016</v>
      </c>
      <c r="N27" s="2">
        <f t="shared" si="1"/>
        <v>19219.199999999997</v>
      </c>
      <c r="O27" s="2">
        <v>19000</v>
      </c>
      <c r="P27" s="2">
        <v>20000</v>
      </c>
      <c r="Q27" s="2">
        <v>20000</v>
      </c>
      <c r="R27" s="2">
        <v>20000</v>
      </c>
      <c r="S27" s="92">
        <f>(R27-O27)/O27</f>
        <v>0.05263157894736842</v>
      </c>
    </row>
    <row r="28" spans="1:19" ht="12.75">
      <c r="A28" t="s">
        <v>142</v>
      </c>
      <c r="B28" s="4">
        <v>52.321</v>
      </c>
      <c r="C28" s="2">
        <v>645</v>
      </c>
      <c r="D28" s="2">
        <v>781</v>
      </c>
      <c r="E28" s="2">
        <v>821</v>
      </c>
      <c r="F28" s="2">
        <v>949</v>
      </c>
      <c r="G28" s="2">
        <v>999</v>
      </c>
      <c r="H28" s="2">
        <v>1241</v>
      </c>
      <c r="I28" s="2">
        <v>1241</v>
      </c>
      <c r="J28" s="2">
        <v>957</v>
      </c>
      <c r="K28" s="2">
        <v>1061</v>
      </c>
      <c r="L28" s="2">
        <f>412+37</f>
        <v>449</v>
      </c>
      <c r="M28" s="2">
        <v>659</v>
      </c>
      <c r="N28" s="2">
        <f t="shared" si="1"/>
        <v>790.8000000000001</v>
      </c>
      <c r="O28" s="2">
        <v>1000</v>
      </c>
      <c r="P28" s="2">
        <v>1000</v>
      </c>
      <c r="Q28" s="2">
        <v>800</v>
      </c>
      <c r="R28" s="2">
        <v>800</v>
      </c>
      <c r="S28" s="92">
        <f>(R28-O28)/O28</f>
        <v>-0.2</v>
      </c>
    </row>
    <row r="29" spans="1:20" ht="12.75" hidden="1">
      <c r="A29" t="s">
        <v>227</v>
      </c>
      <c r="B29" s="4">
        <v>52.322</v>
      </c>
      <c r="C29" s="2"/>
      <c r="D29" s="2"/>
      <c r="E29" s="2">
        <v>16</v>
      </c>
      <c r="F29" s="2">
        <v>300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2"/>
      <c r="T29" s="10"/>
    </row>
    <row r="30" spans="1:19" ht="12.75">
      <c r="A30" t="s">
        <v>163</v>
      </c>
      <c r="B30" s="4">
        <v>52.33</v>
      </c>
      <c r="C30" s="2"/>
      <c r="D30" s="2"/>
      <c r="E30" s="2">
        <v>100</v>
      </c>
      <c r="F30" s="2">
        <v>395</v>
      </c>
      <c r="G30" s="2">
        <v>156</v>
      </c>
      <c r="H30" s="2">
        <v>79</v>
      </c>
      <c r="I30" s="2">
        <v>280</v>
      </c>
      <c r="J30" s="2">
        <v>57</v>
      </c>
      <c r="K30" s="2">
        <v>130</v>
      </c>
      <c r="L30" s="2"/>
      <c r="M30" s="2">
        <v>10</v>
      </c>
      <c r="N30" s="2">
        <f t="shared" si="1"/>
        <v>12</v>
      </c>
      <c r="O30" s="2">
        <v>100</v>
      </c>
      <c r="P30" s="2">
        <v>100</v>
      </c>
      <c r="Q30" s="2">
        <v>100</v>
      </c>
      <c r="R30" s="2">
        <v>100</v>
      </c>
      <c r="S30" s="92">
        <f>(R30-O30)/O30</f>
        <v>0</v>
      </c>
    </row>
    <row r="31" spans="1:19" ht="12.75">
      <c r="A31" t="s">
        <v>154</v>
      </c>
      <c r="B31" s="4">
        <v>52.35</v>
      </c>
      <c r="C31" s="2">
        <v>4587</v>
      </c>
      <c r="D31" s="2">
        <v>4837</v>
      </c>
      <c r="E31" s="2">
        <v>1734</v>
      </c>
      <c r="F31" s="2">
        <v>1714</v>
      </c>
      <c r="G31" s="2">
        <v>1540</v>
      </c>
      <c r="H31" s="2">
        <v>3528</v>
      </c>
      <c r="I31" s="2">
        <v>2090</v>
      </c>
      <c r="J31" s="2">
        <v>1100</v>
      </c>
      <c r="K31" s="2">
        <v>1726</v>
      </c>
      <c r="L31" s="2">
        <f>2445-162</f>
        <v>2283</v>
      </c>
      <c r="M31" s="2">
        <v>281</v>
      </c>
      <c r="N31" s="2">
        <f t="shared" si="1"/>
        <v>337.20000000000005</v>
      </c>
      <c r="O31" s="2">
        <v>2500</v>
      </c>
      <c r="P31" s="2">
        <v>2500</v>
      </c>
      <c r="Q31" s="2">
        <v>2000</v>
      </c>
      <c r="R31" s="2">
        <v>2000</v>
      </c>
      <c r="S31" s="92">
        <f>(R31-O31)/O31</f>
        <v>-0.2</v>
      </c>
    </row>
    <row r="32" spans="1:19" ht="12.75">
      <c r="A32" t="s">
        <v>144</v>
      </c>
      <c r="B32" s="4">
        <v>52.3602</v>
      </c>
      <c r="C32" s="2">
        <v>750</v>
      </c>
      <c r="D32" s="2">
        <v>750</v>
      </c>
      <c r="E32" s="2">
        <v>750</v>
      </c>
      <c r="F32" s="2">
        <v>500</v>
      </c>
      <c r="G32" s="2">
        <v>920</v>
      </c>
      <c r="H32" s="2">
        <v>600</v>
      </c>
      <c r="I32" s="2">
        <v>950</v>
      </c>
      <c r="J32" s="2">
        <v>950</v>
      </c>
      <c r="K32" s="2">
        <v>1055</v>
      </c>
      <c r="L32" s="2">
        <v>1091</v>
      </c>
      <c r="M32" s="2">
        <v>1301</v>
      </c>
      <c r="N32" s="2">
        <f t="shared" si="1"/>
        <v>1561.1999999999998</v>
      </c>
      <c r="O32" s="2">
        <v>1000</v>
      </c>
      <c r="P32" s="2">
        <v>1000</v>
      </c>
      <c r="Q32" s="2">
        <v>1000</v>
      </c>
      <c r="R32" s="2">
        <v>1000</v>
      </c>
      <c r="S32" s="92"/>
    </row>
    <row r="33" spans="1:20" ht="12.75">
      <c r="A33" t="s">
        <v>155</v>
      </c>
      <c r="B33" s="4">
        <v>52.37</v>
      </c>
      <c r="C33" s="2"/>
      <c r="D33" s="2"/>
      <c r="E33" s="2">
        <v>75</v>
      </c>
      <c r="F33" s="2">
        <v>459</v>
      </c>
      <c r="G33" s="2">
        <v>759</v>
      </c>
      <c r="H33" s="2">
        <v>550</v>
      </c>
      <c r="I33" s="2"/>
      <c r="J33" s="2"/>
      <c r="K33" s="2">
        <v>1519</v>
      </c>
      <c r="L33" s="2">
        <v>51</v>
      </c>
      <c r="M33" s="2">
        <v>439</v>
      </c>
      <c r="N33" s="2">
        <f t="shared" si="1"/>
        <v>526.8</v>
      </c>
      <c r="O33" s="2">
        <v>2500</v>
      </c>
      <c r="P33" s="2">
        <v>3000</v>
      </c>
      <c r="Q33" s="2">
        <v>2000</v>
      </c>
      <c r="R33" s="2">
        <v>2000</v>
      </c>
      <c r="S33" s="92"/>
      <c r="T33" t="s">
        <v>589</v>
      </c>
    </row>
    <row r="34" spans="1:19" ht="0.75" customHeight="1" hidden="1">
      <c r="A34" t="s">
        <v>642</v>
      </c>
      <c r="B34" s="4">
        <v>52.391</v>
      </c>
      <c r="C34" s="2"/>
      <c r="D34" s="2"/>
      <c r="E34" s="2"/>
      <c r="F34" s="2"/>
      <c r="G34" s="2"/>
      <c r="H34" s="2"/>
      <c r="I34" s="2">
        <v>3000</v>
      </c>
      <c r="J34" s="2"/>
      <c r="K34" s="2"/>
      <c r="L34" s="2"/>
      <c r="M34" s="2"/>
      <c r="N34" s="2"/>
      <c r="O34" s="2"/>
      <c r="P34" s="2"/>
      <c r="Q34" s="2"/>
      <c r="R34" s="2"/>
      <c r="S34" s="92"/>
    </row>
    <row r="35" spans="2:19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92"/>
    </row>
    <row r="36" spans="1:19" ht="12.75">
      <c r="A36" t="s">
        <v>174</v>
      </c>
      <c r="B36" s="4">
        <v>53.1704</v>
      </c>
      <c r="C36" s="2">
        <v>5731</v>
      </c>
      <c r="D36" s="2">
        <v>4997</v>
      </c>
      <c r="E36" s="2">
        <v>3077</v>
      </c>
      <c r="F36" s="2">
        <v>1402</v>
      </c>
      <c r="G36" s="2">
        <v>1576</v>
      </c>
      <c r="H36" s="2">
        <v>1398</v>
      </c>
      <c r="I36" s="2">
        <v>673</v>
      </c>
      <c r="J36" s="2">
        <v>544</v>
      </c>
      <c r="K36" s="2">
        <v>955</v>
      </c>
      <c r="L36" s="2">
        <f>659+32</f>
        <v>691</v>
      </c>
      <c r="M36" s="2">
        <v>829.67</v>
      </c>
      <c r="N36" s="2">
        <f t="shared" si="1"/>
        <v>995.604</v>
      </c>
      <c r="O36" s="2">
        <v>600</v>
      </c>
      <c r="P36" s="2">
        <v>800</v>
      </c>
      <c r="Q36" s="2">
        <v>600</v>
      </c>
      <c r="R36" s="2">
        <v>600</v>
      </c>
      <c r="S36" s="92">
        <f>(R36-O36)/O36</f>
        <v>0</v>
      </c>
    </row>
    <row r="37" spans="1:19" ht="12.75">
      <c r="A37" t="s">
        <v>149</v>
      </c>
      <c r="B37" s="4">
        <v>53.171</v>
      </c>
      <c r="C37" s="2">
        <v>7597</v>
      </c>
      <c r="D37" s="2">
        <v>5650</v>
      </c>
      <c r="E37" s="2">
        <v>8583</v>
      </c>
      <c r="F37" s="2">
        <v>7252</v>
      </c>
      <c r="G37" s="2">
        <v>6798</v>
      </c>
      <c r="H37" s="2">
        <v>6963</v>
      </c>
      <c r="I37" s="2">
        <f>7080+266</f>
        <v>7346</v>
      </c>
      <c r="J37" s="2">
        <v>9041</v>
      </c>
      <c r="K37" s="2">
        <v>8227</v>
      </c>
      <c r="L37" s="2">
        <v>9839</v>
      </c>
      <c r="M37" s="2">
        <v>6927</v>
      </c>
      <c r="N37" s="2">
        <f t="shared" si="1"/>
        <v>8312.400000000001</v>
      </c>
      <c r="O37" s="2">
        <v>8000</v>
      </c>
      <c r="P37" s="2">
        <v>11000</v>
      </c>
      <c r="Q37" s="2">
        <v>9500</v>
      </c>
      <c r="R37" s="2">
        <v>9500</v>
      </c>
      <c r="S37" s="92">
        <f>(R37-O37)/O37</f>
        <v>0.1875</v>
      </c>
    </row>
    <row r="38" spans="1:19" s="6" customFormat="1" ht="12.75">
      <c r="A38" s="33" t="s">
        <v>732</v>
      </c>
      <c r="B38" s="34">
        <v>53.1715</v>
      </c>
      <c r="C38" s="13"/>
      <c r="D38" s="13"/>
      <c r="E38" s="13"/>
      <c r="F38" s="20">
        <v>300</v>
      </c>
      <c r="G38" s="20">
        <v>1382</v>
      </c>
      <c r="H38" s="20">
        <v>1173</v>
      </c>
      <c r="I38" s="20">
        <v>1675</v>
      </c>
      <c r="J38" s="20"/>
      <c r="K38" s="20"/>
      <c r="L38" s="20">
        <v>1747</v>
      </c>
      <c r="M38" s="20">
        <v>757</v>
      </c>
      <c r="N38" s="2">
        <v>1800</v>
      </c>
      <c r="O38" s="20">
        <v>1800</v>
      </c>
      <c r="P38" s="20">
        <v>2500</v>
      </c>
      <c r="Q38" s="20">
        <v>1800</v>
      </c>
      <c r="R38" s="20">
        <v>2500</v>
      </c>
      <c r="S38" s="92">
        <f>(R38-O38)/O38</f>
        <v>0.3888888888888889</v>
      </c>
    </row>
    <row r="39" spans="1:19" ht="12.75">
      <c r="A39" t="s">
        <v>386</v>
      </c>
      <c r="B39" s="4">
        <v>53.1716</v>
      </c>
      <c r="C39" s="2"/>
      <c r="D39" s="2"/>
      <c r="E39" s="2"/>
      <c r="F39" s="2"/>
      <c r="G39" s="2">
        <v>397</v>
      </c>
      <c r="H39" s="2">
        <v>18</v>
      </c>
      <c r="I39" s="2"/>
      <c r="J39" s="2"/>
      <c r="K39" s="2">
        <v>213</v>
      </c>
      <c r="L39" s="2"/>
      <c r="M39" s="2"/>
      <c r="N39" s="2"/>
      <c r="O39" s="2">
        <v>400</v>
      </c>
      <c r="P39" s="2">
        <v>500</v>
      </c>
      <c r="Q39" s="2"/>
      <c r="R39" s="2"/>
      <c r="S39" s="92">
        <f>(R39-O39)/O39</f>
        <v>-1</v>
      </c>
    </row>
    <row r="40" spans="1:19" ht="12.75" hidden="1">
      <c r="A40" t="s">
        <v>502</v>
      </c>
      <c r="B40" s="4">
        <v>53.1717</v>
      </c>
      <c r="C40" s="2"/>
      <c r="D40" s="2"/>
      <c r="E40" s="2"/>
      <c r="F40" s="2"/>
      <c r="G40" s="2">
        <v>4990</v>
      </c>
      <c r="H40" s="2"/>
      <c r="I40" s="2"/>
      <c r="J40" s="2"/>
      <c r="K40" s="2"/>
      <c r="L40" s="2"/>
      <c r="M40" s="2"/>
      <c r="N40" s="2">
        <f t="shared" si="1"/>
        <v>0</v>
      </c>
      <c r="O40" s="2"/>
      <c r="P40" s="2"/>
      <c r="Q40" s="2"/>
      <c r="R40" s="2"/>
      <c r="S40" s="92"/>
    </row>
    <row r="41" spans="1:19" ht="12.75">
      <c r="A41" t="s">
        <v>228</v>
      </c>
      <c r="B41" s="4">
        <v>53.173</v>
      </c>
      <c r="C41" s="2">
        <v>9079</v>
      </c>
      <c r="D41" s="2">
        <v>9195</v>
      </c>
      <c r="E41" s="2">
        <v>9885</v>
      </c>
      <c r="F41" s="2">
        <v>9603</v>
      </c>
      <c r="G41" s="2">
        <v>11008</v>
      </c>
      <c r="H41" s="2">
        <v>9135</v>
      </c>
      <c r="I41" s="2">
        <v>10185</v>
      </c>
      <c r="J41" s="2">
        <v>10840</v>
      </c>
      <c r="K41" s="2">
        <v>10238</v>
      </c>
      <c r="L41" s="2">
        <f>9643+2</f>
        <v>9645</v>
      </c>
      <c r="M41" s="2">
        <v>9450</v>
      </c>
      <c r="N41" s="2">
        <f t="shared" si="1"/>
        <v>11340</v>
      </c>
      <c r="O41" s="2">
        <v>11000</v>
      </c>
      <c r="P41" s="2">
        <v>11000</v>
      </c>
      <c r="Q41" s="2">
        <v>10000</v>
      </c>
      <c r="R41" s="2">
        <v>10000</v>
      </c>
      <c r="S41" s="92">
        <f aca="true" t="shared" si="2" ref="S41:S46">(R41-O41)/O41</f>
        <v>-0.09090909090909091</v>
      </c>
    </row>
    <row r="42" spans="1:19" ht="12.75">
      <c r="A42" t="s">
        <v>188</v>
      </c>
      <c r="B42" s="4">
        <v>53.175</v>
      </c>
      <c r="C42" s="2">
        <v>16674</v>
      </c>
      <c r="D42" s="2">
        <v>20446</v>
      </c>
      <c r="E42" s="2">
        <v>21748</v>
      </c>
      <c r="F42" s="2">
        <v>19035</v>
      </c>
      <c r="G42" s="2">
        <v>18640</v>
      </c>
      <c r="H42" s="2">
        <v>17535</v>
      </c>
      <c r="I42" s="2">
        <v>13704</v>
      </c>
      <c r="J42" s="2">
        <v>25205</v>
      </c>
      <c r="K42" s="2">
        <f>22462+32</f>
        <v>22494</v>
      </c>
      <c r="L42" s="2">
        <v>11529</v>
      </c>
      <c r="M42" s="2">
        <v>12420</v>
      </c>
      <c r="N42" s="2">
        <f t="shared" si="1"/>
        <v>14904</v>
      </c>
      <c r="O42" s="2">
        <v>15000</v>
      </c>
      <c r="P42" s="2">
        <v>20000</v>
      </c>
      <c r="Q42" s="2">
        <v>18000</v>
      </c>
      <c r="R42" s="2">
        <v>18000</v>
      </c>
      <c r="S42" s="92">
        <f t="shared" si="2"/>
        <v>0.2</v>
      </c>
    </row>
    <row r="43" spans="1:19" ht="12.75">
      <c r="A43" t="s">
        <v>177</v>
      </c>
      <c r="B43" s="4">
        <v>53.176</v>
      </c>
      <c r="C43" s="2">
        <v>1456</v>
      </c>
      <c r="D43" s="2">
        <v>1476</v>
      </c>
      <c r="E43" s="2">
        <v>2211</v>
      </c>
      <c r="F43" s="2">
        <v>1819</v>
      </c>
      <c r="G43" s="2">
        <v>1923</v>
      </c>
      <c r="H43" s="2">
        <v>2001</v>
      </c>
      <c r="I43" s="2">
        <v>2046</v>
      </c>
      <c r="J43" s="2">
        <v>2218</v>
      </c>
      <c r="K43" s="2">
        <v>2428</v>
      </c>
      <c r="L43" s="2">
        <v>2795</v>
      </c>
      <c r="M43" s="2">
        <v>1993</v>
      </c>
      <c r="N43" s="2">
        <f t="shared" si="1"/>
        <v>2391.6000000000004</v>
      </c>
      <c r="O43" s="2">
        <v>2800</v>
      </c>
      <c r="P43" s="2">
        <v>3000</v>
      </c>
      <c r="Q43" s="2">
        <v>2500</v>
      </c>
      <c r="R43" s="2">
        <v>2500</v>
      </c>
      <c r="S43" s="92">
        <f t="shared" si="2"/>
        <v>-0.10714285714285714</v>
      </c>
    </row>
    <row r="44" spans="1:19" ht="12.75">
      <c r="A44" t="s">
        <v>178</v>
      </c>
      <c r="B44" s="4">
        <v>53.177</v>
      </c>
      <c r="C44" s="2">
        <v>5794</v>
      </c>
      <c r="D44" s="2">
        <v>6473</v>
      </c>
      <c r="E44" s="2">
        <v>5618</v>
      </c>
      <c r="F44" s="2">
        <v>7543</v>
      </c>
      <c r="G44" s="2">
        <v>6896</v>
      </c>
      <c r="H44" s="2">
        <v>5663</v>
      </c>
      <c r="I44" s="2">
        <v>6511</v>
      </c>
      <c r="J44" s="2">
        <v>8338</v>
      </c>
      <c r="K44" s="2">
        <v>7056</v>
      </c>
      <c r="L44" s="2">
        <v>6654</v>
      </c>
      <c r="M44" s="2">
        <v>6178</v>
      </c>
      <c r="N44" s="2">
        <f t="shared" si="1"/>
        <v>7413.599999999999</v>
      </c>
      <c r="O44" s="2">
        <v>7500</v>
      </c>
      <c r="P44" s="2">
        <v>9500</v>
      </c>
      <c r="Q44" s="2">
        <v>7500</v>
      </c>
      <c r="R44" s="2">
        <v>7500</v>
      </c>
      <c r="S44" s="92">
        <f t="shared" si="2"/>
        <v>0</v>
      </c>
    </row>
    <row r="45" spans="1:19" ht="12.75">
      <c r="A45" t="s">
        <v>191</v>
      </c>
      <c r="B45" s="4">
        <v>53.178</v>
      </c>
      <c r="C45" s="2">
        <v>958</v>
      </c>
      <c r="D45" s="2">
        <v>957</v>
      </c>
      <c r="E45" s="2">
        <v>248</v>
      </c>
      <c r="F45" s="2">
        <v>594</v>
      </c>
      <c r="G45" s="2">
        <v>736</v>
      </c>
      <c r="H45" s="2">
        <v>200</v>
      </c>
      <c r="I45" s="2">
        <v>814</v>
      </c>
      <c r="J45" s="2">
        <v>1077</v>
      </c>
      <c r="K45" s="2">
        <v>1172</v>
      </c>
      <c r="L45" s="2">
        <v>699</v>
      </c>
      <c r="M45" s="2">
        <v>279</v>
      </c>
      <c r="N45" s="2">
        <f t="shared" si="1"/>
        <v>334.79999999999995</v>
      </c>
      <c r="O45" s="2">
        <v>1000</v>
      </c>
      <c r="P45" s="2">
        <v>1000</v>
      </c>
      <c r="Q45" s="2">
        <v>800</v>
      </c>
      <c r="R45" s="2">
        <v>800</v>
      </c>
      <c r="S45" s="92">
        <f t="shared" si="2"/>
        <v>-0.2</v>
      </c>
    </row>
    <row r="46" spans="1:19" ht="12.75">
      <c r="A46" t="s">
        <v>179</v>
      </c>
      <c r="B46" s="4">
        <v>53.179</v>
      </c>
      <c r="C46" s="2">
        <v>25195</v>
      </c>
      <c r="D46" s="2">
        <v>38649</v>
      </c>
      <c r="E46" s="2">
        <v>40045</v>
      </c>
      <c r="F46" s="2">
        <v>33000</v>
      </c>
      <c r="G46" s="2">
        <v>45528</v>
      </c>
      <c r="H46" s="2">
        <v>54682</v>
      </c>
      <c r="I46" s="2">
        <v>78539</v>
      </c>
      <c r="J46" s="2">
        <v>102493</v>
      </c>
      <c r="K46" s="2">
        <f>96616+109</f>
        <v>96725</v>
      </c>
      <c r="L46" s="2">
        <f>137805+55</f>
        <v>137860</v>
      </c>
      <c r="M46" s="2">
        <v>72550</v>
      </c>
      <c r="N46" s="2">
        <f t="shared" si="1"/>
        <v>87060</v>
      </c>
      <c r="O46" s="2">
        <v>120000</v>
      </c>
      <c r="P46" s="2">
        <v>120000</v>
      </c>
      <c r="Q46" s="2">
        <v>100000</v>
      </c>
      <c r="R46" s="2">
        <v>100000</v>
      </c>
      <c r="S46" s="92">
        <f t="shared" si="2"/>
        <v>-0.16666666666666666</v>
      </c>
    </row>
    <row r="47" spans="2:19" ht="12.75"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v>25</v>
      </c>
      <c r="N47" s="2">
        <f t="shared" si="1"/>
        <v>30</v>
      </c>
      <c r="O47" s="2"/>
      <c r="P47" s="2"/>
      <c r="Q47" s="2"/>
      <c r="R47" s="2"/>
      <c r="S47" s="92"/>
    </row>
    <row r="48" spans="1:21" ht="12.75">
      <c r="A48" t="s">
        <v>229</v>
      </c>
      <c r="B48" s="4">
        <v>54.22</v>
      </c>
      <c r="C48" s="2"/>
      <c r="D48" s="2">
        <v>58216</v>
      </c>
      <c r="E48" s="2">
        <v>61325</v>
      </c>
      <c r="F48" s="2">
        <v>46045</v>
      </c>
      <c r="G48" s="2">
        <v>158849</v>
      </c>
      <c r="H48" s="2">
        <v>92453</v>
      </c>
      <c r="I48" s="2">
        <v>78800</v>
      </c>
      <c r="J48" s="2">
        <v>74113</v>
      </c>
      <c r="K48" s="2">
        <f>95821+12539</f>
        <v>108360</v>
      </c>
      <c r="L48" s="2">
        <v>-9824</v>
      </c>
      <c r="M48" s="2"/>
      <c r="N48" s="2"/>
      <c r="O48" s="2"/>
      <c r="P48" s="20">
        <v>150000</v>
      </c>
      <c r="Q48" s="20">
        <v>150000</v>
      </c>
      <c r="R48" s="20"/>
      <c r="S48" s="92" t="e">
        <f>(R48-O48)/O48</f>
        <v>#DIV/0!</v>
      </c>
      <c r="T48" s="2" t="s">
        <v>1032</v>
      </c>
      <c r="U48" s="6"/>
    </row>
    <row r="49" spans="1:19" ht="12.75">
      <c r="A49" t="s">
        <v>230</v>
      </c>
      <c r="B49" s="4">
        <v>54.24</v>
      </c>
      <c r="C49" s="2"/>
      <c r="D49" s="2"/>
      <c r="E49" s="2">
        <v>905</v>
      </c>
      <c r="F49" s="2"/>
      <c r="G49" s="2"/>
      <c r="H49" s="2">
        <v>2400</v>
      </c>
      <c r="I49" s="2">
        <v>1684</v>
      </c>
      <c r="J49" s="2">
        <v>638</v>
      </c>
      <c r="K49" s="2">
        <v>195</v>
      </c>
      <c r="L49" s="2">
        <v>237</v>
      </c>
      <c r="M49" s="2"/>
      <c r="N49" s="2"/>
      <c r="O49" s="2"/>
      <c r="P49" s="2"/>
      <c r="Q49" s="2"/>
      <c r="R49" s="2"/>
      <c r="S49" s="92"/>
    </row>
    <row r="50" spans="1:19" ht="12.75">
      <c r="A50" t="s">
        <v>384</v>
      </c>
      <c r="B50" s="4">
        <v>54.25</v>
      </c>
      <c r="E50" s="2">
        <v>6351</v>
      </c>
      <c r="F50" s="2"/>
      <c r="G50" s="2">
        <v>6325</v>
      </c>
      <c r="H50" s="2"/>
      <c r="I50" s="2"/>
      <c r="J50" s="2"/>
      <c r="K50" s="2"/>
      <c r="L50" s="2">
        <v>3776</v>
      </c>
      <c r="M50" s="2"/>
      <c r="O50" s="2"/>
      <c r="P50" s="2"/>
      <c r="Q50" s="2"/>
      <c r="R50" s="2"/>
      <c r="S50" s="92"/>
    </row>
    <row r="51" spans="1:19" ht="12.75">
      <c r="A51" t="s">
        <v>387</v>
      </c>
      <c r="B51" s="4">
        <v>54.255</v>
      </c>
      <c r="E51" s="2"/>
      <c r="F51" s="2"/>
      <c r="G51" s="2">
        <v>9661</v>
      </c>
      <c r="H51" s="2">
        <v>2903</v>
      </c>
      <c r="I51" s="2">
        <v>4533</v>
      </c>
      <c r="J51" s="2">
        <v>66</v>
      </c>
      <c r="K51" s="2">
        <v>273</v>
      </c>
      <c r="L51" s="2"/>
      <c r="M51" s="2">
        <v>3459</v>
      </c>
      <c r="N51" s="2">
        <v>4100</v>
      </c>
      <c r="O51" s="20">
        <v>4100</v>
      </c>
      <c r="P51" s="2">
        <v>4600</v>
      </c>
      <c r="Q51" s="2">
        <v>4100</v>
      </c>
      <c r="R51" s="2">
        <v>4100</v>
      </c>
      <c r="S51" s="92"/>
    </row>
    <row r="52" spans="1:20" ht="12.75">
      <c r="A52" t="s">
        <v>232</v>
      </c>
      <c r="B52" s="4">
        <v>54.261</v>
      </c>
      <c r="C52" s="2"/>
      <c r="D52" s="2"/>
      <c r="E52" s="2">
        <v>8000</v>
      </c>
      <c r="F52" s="2">
        <v>456</v>
      </c>
      <c r="G52" s="2">
        <v>1001</v>
      </c>
      <c r="H52" s="2">
        <v>549</v>
      </c>
      <c r="I52" s="2"/>
      <c r="J52" s="2">
        <v>9383</v>
      </c>
      <c r="K52" s="2"/>
      <c r="L52" s="2">
        <v>1382</v>
      </c>
      <c r="M52" s="2">
        <v>12437</v>
      </c>
      <c r="N52" s="2">
        <v>14600</v>
      </c>
      <c r="O52" s="2">
        <v>14600</v>
      </c>
      <c r="P52" s="2">
        <v>1200</v>
      </c>
      <c r="Q52" s="2">
        <v>1200</v>
      </c>
      <c r="R52" s="2">
        <v>1200</v>
      </c>
      <c r="S52" s="92">
        <f>(R52-O52)/O52</f>
        <v>-0.9178082191780822</v>
      </c>
      <c r="T52" t="s">
        <v>5</v>
      </c>
    </row>
    <row r="53" spans="1:19" ht="12.75">
      <c r="A53" t="s">
        <v>233</v>
      </c>
      <c r="B53" s="4">
        <v>54.261</v>
      </c>
      <c r="C53" s="5"/>
      <c r="D53" s="5"/>
      <c r="E53" s="2">
        <v>4495</v>
      </c>
      <c r="F53" s="5"/>
      <c r="G53" s="5"/>
      <c r="H53" s="5"/>
      <c r="I53" s="5"/>
      <c r="J53" s="5"/>
      <c r="K53" s="5"/>
      <c r="L53" s="5"/>
      <c r="M53" s="2"/>
      <c r="N53" s="2"/>
      <c r="O53" s="2"/>
      <c r="P53" s="2"/>
      <c r="Q53" s="2"/>
      <c r="R53" s="2"/>
      <c r="S53" s="92"/>
    </row>
    <row r="54" spans="1:19" ht="12.75">
      <c r="A54" t="s">
        <v>643</v>
      </c>
      <c r="B54" s="4">
        <v>54.262</v>
      </c>
      <c r="C54" s="5"/>
      <c r="D54" s="5"/>
      <c r="E54" s="2"/>
      <c r="F54" s="5"/>
      <c r="G54" s="5"/>
      <c r="H54" s="5"/>
      <c r="I54" s="2">
        <v>1149</v>
      </c>
      <c r="J54" s="2"/>
      <c r="K54" s="2"/>
      <c r="L54" s="2">
        <v>3000</v>
      </c>
      <c r="M54" s="2"/>
      <c r="N54" s="2"/>
      <c r="O54" s="2"/>
      <c r="P54" s="2"/>
      <c r="Q54" s="2"/>
      <c r="R54" s="2"/>
      <c r="S54" s="92"/>
    </row>
    <row r="55" spans="1:19" ht="12.75">
      <c r="A55" t="s">
        <v>747</v>
      </c>
      <c r="B55" s="4">
        <v>54.2622</v>
      </c>
      <c r="C55" s="5"/>
      <c r="D55" s="5"/>
      <c r="E55" s="2"/>
      <c r="F55" s="5"/>
      <c r="G55" s="5"/>
      <c r="H55" s="5"/>
      <c r="I55" s="2"/>
      <c r="J55" s="2">
        <v>19635</v>
      </c>
      <c r="K55" s="2">
        <v>3000</v>
      </c>
      <c r="L55" s="2">
        <v>3000</v>
      </c>
      <c r="M55" s="2"/>
      <c r="N55" s="2">
        <v>3000</v>
      </c>
      <c r="O55" s="2">
        <v>3000</v>
      </c>
      <c r="P55" s="2">
        <v>3200</v>
      </c>
      <c r="Q55" s="2">
        <v>3200</v>
      </c>
      <c r="R55" s="2">
        <v>3200</v>
      </c>
      <c r="S55" s="92"/>
    </row>
    <row r="56" spans="1:19" ht="12.75">
      <c r="A56" t="s">
        <v>705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N56" s="2"/>
      <c r="O56" s="2"/>
      <c r="P56" s="2"/>
      <c r="Q56" s="2"/>
      <c r="R56" s="2"/>
      <c r="S56" s="92"/>
    </row>
    <row r="57" spans="1:19" ht="12.75">
      <c r="A57" t="s">
        <v>385</v>
      </c>
      <c r="B57" s="4">
        <v>57.109</v>
      </c>
      <c r="C57" s="5"/>
      <c r="D57" s="5"/>
      <c r="E57" s="2">
        <v>930</v>
      </c>
      <c r="F57" s="2"/>
      <c r="G57" s="2"/>
      <c r="H57" s="2"/>
      <c r="I57" s="2"/>
      <c r="J57" s="2"/>
      <c r="K57" s="2"/>
      <c r="L57" s="2"/>
      <c r="N57" s="2"/>
      <c r="O57" s="2"/>
      <c r="P57" s="2"/>
      <c r="Q57" s="2"/>
      <c r="R57" s="2"/>
      <c r="S57" s="92"/>
    </row>
    <row r="58" spans="1:20" ht="12.75">
      <c r="A58" t="s">
        <v>231</v>
      </c>
      <c r="B58" s="4">
        <v>57.217</v>
      </c>
      <c r="C58" s="2">
        <v>8943</v>
      </c>
      <c r="D58" s="2">
        <v>8067</v>
      </c>
      <c r="E58" s="2">
        <v>8943</v>
      </c>
      <c r="F58" s="2">
        <v>12159</v>
      </c>
      <c r="G58" s="2">
        <v>12159</v>
      </c>
      <c r="H58" s="2">
        <v>12159</v>
      </c>
      <c r="I58" s="2">
        <v>12159</v>
      </c>
      <c r="J58" s="2"/>
      <c r="K58" s="2"/>
      <c r="L58" s="2"/>
      <c r="M58" s="2"/>
      <c r="N58" s="2"/>
      <c r="O58" s="2"/>
      <c r="P58" s="2"/>
      <c r="Q58" s="2"/>
      <c r="R58" s="2"/>
      <c r="S58" s="92" t="e">
        <f>(R58-O58)/O58</f>
        <v>#DIV/0!</v>
      </c>
      <c r="T58" s="2"/>
    </row>
    <row r="59" spans="1:19" ht="12.75">
      <c r="A59" t="s">
        <v>663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/>
      <c r="Q59" s="2"/>
      <c r="R59" s="5"/>
      <c r="S59" s="92"/>
    </row>
    <row r="60" spans="1:19" ht="12.75">
      <c r="A60" s="6" t="s">
        <v>116</v>
      </c>
      <c r="B60" s="6"/>
      <c r="C60" s="8">
        <f aca="true" t="shared" si="3" ref="C60:I60">SUM(C7:C59)</f>
        <v>874821</v>
      </c>
      <c r="D60" s="8">
        <f t="shared" si="3"/>
        <v>975291</v>
      </c>
      <c r="E60" s="8">
        <f t="shared" si="3"/>
        <v>996230</v>
      </c>
      <c r="F60" s="8">
        <f t="shared" si="3"/>
        <v>1052328</v>
      </c>
      <c r="G60" s="8">
        <f t="shared" si="3"/>
        <v>1244997</v>
      </c>
      <c r="H60" s="8">
        <f t="shared" si="3"/>
        <v>1192747</v>
      </c>
      <c r="I60" s="8">
        <f t="shared" si="3"/>
        <v>1258971</v>
      </c>
      <c r="J60" s="8">
        <v>1447823</v>
      </c>
      <c r="K60" s="8">
        <f aca="true" t="shared" si="4" ref="K60:Q60">SUM(K7:K59)</f>
        <v>1458397</v>
      </c>
      <c r="L60" s="8">
        <v>1427620</v>
      </c>
      <c r="M60" s="8">
        <f t="shared" si="4"/>
        <v>1140317.67</v>
      </c>
      <c r="N60" s="8">
        <f t="shared" si="4"/>
        <v>1380250.004</v>
      </c>
      <c r="O60" s="8">
        <f t="shared" si="4"/>
        <v>1552950.838627862</v>
      </c>
      <c r="P60" s="8">
        <f t="shared" si="4"/>
        <v>1657081.8242549999</v>
      </c>
      <c r="Q60" s="8">
        <f t="shared" si="4"/>
        <v>1625781.66278</v>
      </c>
      <c r="R60" s="8">
        <f>SUM(R7:R59)</f>
        <v>1476481.66278</v>
      </c>
      <c r="S60" s="96">
        <f>(R60-O60)/O60</f>
        <v>-0.0492412083794152</v>
      </c>
    </row>
    <row r="62" spans="15:17" ht="12.75">
      <c r="O62" s="22" t="s">
        <v>488</v>
      </c>
      <c r="P62" s="22"/>
      <c r="Q62" s="56">
        <f>P60-Q60</f>
        <v>31300.16147499997</v>
      </c>
    </row>
    <row r="63" spans="15:17" ht="12.75">
      <c r="O63" s="22" t="s">
        <v>761</v>
      </c>
      <c r="P63" s="22"/>
      <c r="Q63" s="56">
        <f>O60-Q60</f>
        <v>-72830.82415213785</v>
      </c>
    </row>
    <row r="64" spans="15:17" ht="12.75">
      <c r="O64" s="22" t="s">
        <v>436</v>
      </c>
      <c r="P64" s="22"/>
      <c r="Q64" s="56">
        <f>Q60-R60</f>
        <v>149300</v>
      </c>
    </row>
    <row r="65" ht="12.75">
      <c r="A65" s="6"/>
    </row>
    <row r="67" ht="12.75">
      <c r="A67" t="s">
        <v>1</v>
      </c>
    </row>
    <row r="68" ht="12.75">
      <c r="A68" t="s">
        <v>609</v>
      </c>
    </row>
    <row r="69" ht="12.75">
      <c r="A69" t="s">
        <v>856</v>
      </c>
    </row>
    <row r="70" ht="12.75">
      <c r="A70" t="s">
        <v>6</v>
      </c>
    </row>
    <row r="71" ht="12.75">
      <c r="A71" t="s">
        <v>672</v>
      </c>
    </row>
    <row r="72" ht="12.75">
      <c r="A72" t="s">
        <v>836</v>
      </c>
    </row>
    <row r="73" ht="12.75">
      <c r="A73" t="s">
        <v>17</v>
      </c>
    </row>
    <row r="74" ht="12.75">
      <c r="A74" s="22"/>
    </row>
    <row r="76" ht="12.75">
      <c r="A76" t="s">
        <v>31</v>
      </c>
    </row>
    <row r="79" ht="12.75">
      <c r="A79" s="6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  <row r="109" spans="3:1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3:1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81" r:id="rId3"/>
  <headerFooter alignWithMargins="0">
    <oddFooter>&amp;L&amp;F
&amp;A&amp;CPage &amp;P of &amp;N&amp;R&amp;D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T93"/>
  <sheetViews>
    <sheetView zoomScale="75" zoomScaleNormal="75" workbookViewId="0" topLeftCell="A1">
      <selection activeCell="N8" sqref="N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2.00390625" style="0" hidden="1" customWidth="1"/>
    <col min="4" max="9" width="11.7109375" style="0" hidden="1" customWidth="1"/>
    <col min="10" max="13" width="11.7109375" style="0" customWidth="1"/>
    <col min="14" max="14" width="13.421875" style="0" bestFit="1" customWidth="1"/>
    <col min="15" max="17" width="11.7109375" style="0" customWidth="1"/>
    <col min="18" max="18" width="12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464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19" ht="12.75">
      <c r="A7" s="22" t="s">
        <v>686</v>
      </c>
      <c r="B7" s="4">
        <v>51.11</v>
      </c>
      <c r="C7" s="2">
        <v>330133</v>
      </c>
      <c r="D7" s="2">
        <v>311784</v>
      </c>
      <c r="E7" s="2">
        <v>363351</v>
      </c>
      <c r="F7" s="2">
        <v>418363</v>
      </c>
      <c r="G7" s="2">
        <v>423055</v>
      </c>
      <c r="H7" s="2">
        <v>365290</v>
      </c>
      <c r="I7" s="2">
        <v>317825</v>
      </c>
      <c r="J7" s="2">
        <v>345630</v>
      </c>
      <c r="K7" s="2">
        <v>360057</v>
      </c>
      <c r="L7" s="2">
        <v>432069.34</v>
      </c>
      <c r="M7" s="2">
        <v>358976</v>
      </c>
      <c r="N7" s="2">
        <f>+M7/$M$3*12</f>
        <v>430771.19999999995</v>
      </c>
      <c r="O7" s="2">
        <v>426903.22</v>
      </c>
      <c r="P7" s="2">
        <v>469950</v>
      </c>
      <c r="Q7" s="2">
        <v>469950.33</v>
      </c>
      <c r="R7" s="2">
        <v>469950.33</v>
      </c>
      <c r="S7" s="92">
        <f aca="true" t="shared" si="0" ref="S7:S44">(R7-O7)/O7</f>
        <v>0.10083575851219873</v>
      </c>
    </row>
    <row r="8" spans="1:19" ht="12.75">
      <c r="A8" t="s">
        <v>541</v>
      </c>
      <c r="B8" s="4">
        <v>51.1105</v>
      </c>
      <c r="C8" s="2"/>
      <c r="D8" s="2"/>
      <c r="E8" s="2"/>
      <c r="F8" s="2"/>
      <c r="G8" s="2"/>
      <c r="H8" s="2">
        <v>116957</v>
      </c>
      <c r="I8" s="2">
        <v>160877</v>
      </c>
      <c r="J8" s="2">
        <v>162335</v>
      </c>
      <c r="K8" s="2">
        <v>213532</v>
      </c>
      <c r="L8" s="2">
        <v>130492</v>
      </c>
      <c r="M8" s="2">
        <v>107120</v>
      </c>
      <c r="N8" s="2">
        <f>+M8/$M$3*12</f>
        <v>128544</v>
      </c>
      <c r="O8" s="2">
        <v>115000</v>
      </c>
      <c r="P8" s="2">
        <v>115000</v>
      </c>
      <c r="Q8" s="2">
        <v>115000</v>
      </c>
      <c r="R8" s="2">
        <v>115000</v>
      </c>
      <c r="S8" s="92">
        <f t="shared" si="0"/>
        <v>0</v>
      </c>
    </row>
    <row r="9" spans="1:19" ht="12.75">
      <c r="A9" t="s">
        <v>744</v>
      </c>
      <c r="B9" s="4">
        <v>51.1136</v>
      </c>
      <c r="C9" s="2"/>
      <c r="D9" s="2"/>
      <c r="E9" s="2"/>
      <c r="F9" s="2"/>
      <c r="G9" s="2"/>
      <c r="H9" s="2"/>
      <c r="I9" s="2"/>
      <c r="J9" s="2">
        <v>4902</v>
      </c>
      <c r="K9" s="2">
        <v>3843</v>
      </c>
      <c r="L9" s="2">
        <v>4780</v>
      </c>
      <c r="M9" s="2">
        <v>0</v>
      </c>
      <c r="N9" s="2">
        <v>4000</v>
      </c>
      <c r="O9" s="2">
        <v>4000</v>
      </c>
      <c r="P9" s="2">
        <v>5798</v>
      </c>
      <c r="Q9" s="2">
        <v>5798.16</v>
      </c>
      <c r="R9" s="2">
        <v>5798.16</v>
      </c>
      <c r="S9" s="92">
        <f t="shared" si="0"/>
        <v>0.44953999999999994</v>
      </c>
    </row>
    <row r="10" spans="1:19" ht="12.75">
      <c r="A10" t="s">
        <v>152</v>
      </c>
      <c r="B10" s="4">
        <v>51.13</v>
      </c>
      <c r="C10" s="2">
        <v>21390</v>
      </c>
      <c r="D10" s="2">
        <v>18800</v>
      </c>
      <c r="E10" s="2">
        <v>21573</v>
      </c>
      <c r="F10" s="2">
        <v>26468</v>
      </c>
      <c r="G10" s="2">
        <v>21398</v>
      </c>
      <c r="H10" s="2">
        <v>14379</v>
      </c>
      <c r="I10" s="2">
        <v>21846</v>
      </c>
      <c r="J10" s="2">
        <v>23615</v>
      </c>
      <c r="K10" s="2">
        <v>21639</v>
      </c>
      <c r="L10" s="2">
        <v>17912</v>
      </c>
      <c r="M10" s="2">
        <v>14960</v>
      </c>
      <c r="N10" s="2">
        <f>+M10/$M$3*12</f>
        <v>17952</v>
      </c>
      <c r="O10" s="2">
        <v>20000</v>
      </c>
      <c r="P10" s="2">
        <v>20000</v>
      </c>
      <c r="Q10" s="2">
        <v>20000</v>
      </c>
      <c r="R10" s="2">
        <v>20000</v>
      </c>
      <c r="S10" s="92">
        <f t="shared" si="0"/>
        <v>0</v>
      </c>
    </row>
    <row r="11" spans="1:20" ht="12.75">
      <c r="A11" t="s">
        <v>948</v>
      </c>
      <c r="B11" s="4">
        <v>51.21</v>
      </c>
      <c r="C11" s="2">
        <v>26868</v>
      </c>
      <c r="D11" s="2">
        <v>25367</v>
      </c>
      <c r="E11" s="2">
        <v>30099</v>
      </c>
      <c r="F11" s="2">
        <v>32045</v>
      </c>
      <c r="G11" s="2">
        <v>35193</v>
      </c>
      <c r="H11" s="2">
        <v>40938</v>
      </c>
      <c r="I11" s="2">
        <v>43369</v>
      </c>
      <c r="J11" s="2">
        <v>52386</v>
      </c>
      <c r="K11" s="2">
        <v>64465</v>
      </c>
      <c r="L11" s="2">
        <v>68700</v>
      </c>
      <c r="M11" s="2">
        <v>59947</v>
      </c>
      <c r="N11" s="2">
        <f>+M11/$M$3*12</f>
        <v>71936.4</v>
      </c>
      <c r="O11" s="31">
        <v>76800</v>
      </c>
      <c r="P11" s="31">
        <v>78720</v>
      </c>
      <c r="Q11" s="31">
        <f>16*4920</f>
        <v>78720</v>
      </c>
      <c r="R11" s="31">
        <f>16*4920</f>
        <v>78720</v>
      </c>
      <c r="S11" s="92">
        <f>(R11-O11)/O11</f>
        <v>0.025</v>
      </c>
      <c r="T11" t="s">
        <v>825</v>
      </c>
    </row>
    <row r="12" spans="1:19" ht="12.75">
      <c r="A12" t="s">
        <v>139</v>
      </c>
      <c r="B12" s="4">
        <v>51.22</v>
      </c>
      <c r="C12" s="2">
        <v>26717</v>
      </c>
      <c r="D12" s="2">
        <v>25090</v>
      </c>
      <c r="E12" s="2">
        <v>29078</v>
      </c>
      <c r="F12" s="2">
        <v>34072</v>
      </c>
      <c r="G12" s="2">
        <v>33504</v>
      </c>
      <c r="H12" s="2">
        <v>37316</v>
      </c>
      <c r="I12" s="2">
        <v>37088</v>
      </c>
      <c r="J12" s="2">
        <v>39627</v>
      </c>
      <c r="K12" s="2">
        <v>44601</v>
      </c>
      <c r="L12" s="2">
        <v>44414.47</v>
      </c>
      <c r="M12" s="2">
        <v>35939</v>
      </c>
      <c r="N12" s="2">
        <f>+M12/$M$3*12</f>
        <v>43126.8</v>
      </c>
      <c r="O12" s="2">
        <v>43291.59633</v>
      </c>
      <c r="P12" s="2">
        <v>46722</v>
      </c>
      <c r="Q12" s="2">
        <f>(Q7+Q8+Q9+Q10)*0.0765</f>
        <v>46722.25948500001</v>
      </c>
      <c r="R12" s="2">
        <f>(R7+R8+R9+R10)*0.0765</f>
        <v>46722.25948500001</v>
      </c>
      <c r="S12" s="92">
        <f t="shared" si="0"/>
        <v>0.07924547593137943</v>
      </c>
    </row>
    <row r="13" spans="1:19" ht="12.75">
      <c r="A13" t="s">
        <v>235</v>
      </c>
      <c r="B13" s="4">
        <v>51.24</v>
      </c>
      <c r="C13" s="2">
        <v>699</v>
      </c>
      <c r="D13" s="2">
        <v>543</v>
      </c>
      <c r="E13" s="2">
        <v>519</v>
      </c>
      <c r="F13" s="2">
        <v>888</v>
      </c>
      <c r="G13" s="2">
        <v>1241</v>
      </c>
      <c r="H13" s="2">
        <v>1857</v>
      </c>
      <c r="I13" s="2">
        <v>2063</v>
      </c>
      <c r="J13" s="2">
        <v>2814</v>
      </c>
      <c r="K13" s="2">
        <v>3937</v>
      </c>
      <c r="L13" s="2">
        <v>3353</v>
      </c>
      <c r="M13" s="2">
        <v>1408</v>
      </c>
      <c r="N13" s="2">
        <v>1408</v>
      </c>
      <c r="O13" s="2">
        <v>4000</v>
      </c>
      <c r="P13" s="2">
        <v>4500</v>
      </c>
      <c r="Q13" s="2">
        <v>4500</v>
      </c>
      <c r="R13" s="2">
        <v>4500</v>
      </c>
      <c r="S13" s="92">
        <f t="shared" si="0"/>
        <v>0.125</v>
      </c>
    </row>
    <row r="14" spans="1:20" ht="12.75">
      <c r="A14" t="s">
        <v>733</v>
      </c>
      <c r="B14" s="4"/>
      <c r="C14" s="2"/>
      <c r="D14" s="2"/>
      <c r="E14" s="2"/>
      <c r="F14" s="2"/>
      <c r="G14" s="2"/>
      <c r="H14" s="2"/>
      <c r="I14" s="2">
        <v>5244</v>
      </c>
      <c r="J14" s="2"/>
      <c r="K14" s="2"/>
      <c r="L14" s="2"/>
      <c r="M14" s="2"/>
      <c r="N14" s="2"/>
      <c r="O14" s="2"/>
      <c r="P14" s="2"/>
      <c r="Q14" s="2"/>
      <c r="R14" s="2"/>
      <c r="S14" s="92"/>
      <c r="T14" s="2"/>
    </row>
    <row r="15" spans="2:19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</row>
    <row r="16" spans="1:19" ht="12.75">
      <c r="A16" t="s">
        <v>236</v>
      </c>
      <c r="B16" s="4">
        <v>52.126</v>
      </c>
      <c r="C16" s="2">
        <v>35223</v>
      </c>
      <c r="D16" s="2">
        <v>24176</v>
      </c>
      <c r="E16" s="2">
        <v>46119</v>
      </c>
      <c r="F16" s="2">
        <v>64176</v>
      </c>
      <c r="G16" s="2">
        <v>53263</v>
      </c>
      <c r="H16" s="2">
        <v>43493</v>
      </c>
      <c r="I16" s="2">
        <v>38801</v>
      </c>
      <c r="J16" s="2">
        <v>67585</v>
      </c>
      <c r="K16" s="2">
        <f>56893+2071</f>
        <v>58964</v>
      </c>
      <c r="L16" s="2">
        <f>78793+1232</f>
        <v>80025</v>
      </c>
      <c r="M16" s="2">
        <v>40048</v>
      </c>
      <c r="N16" s="2">
        <f>+M16/$M$3*12</f>
        <v>48057.600000000006</v>
      </c>
      <c r="O16" s="2">
        <v>50000</v>
      </c>
      <c r="P16" s="2">
        <v>50000</v>
      </c>
      <c r="Q16" s="2">
        <v>50000</v>
      </c>
      <c r="R16" s="2">
        <v>50000</v>
      </c>
      <c r="S16" s="92">
        <f t="shared" si="0"/>
        <v>0</v>
      </c>
    </row>
    <row r="17" spans="1:19" ht="12.75">
      <c r="A17" t="s">
        <v>196</v>
      </c>
      <c r="B17" s="4">
        <v>52.211</v>
      </c>
      <c r="C17" s="2"/>
      <c r="D17" s="2"/>
      <c r="E17" s="2">
        <v>1500</v>
      </c>
      <c r="F17" s="2">
        <v>2260</v>
      </c>
      <c r="G17" s="2">
        <v>2159</v>
      </c>
      <c r="H17" s="2">
        <v>2492</v>
      </c>
      <c r="I17" s="2">
        <v>2304</v>
      </c>
      <c r="J17" s="2">
        <v>3576</v>
      </c>
      <c r="K17" s="2">
        <v>2540</v>
      </c>
      <c r="L17" s="2">
        <v>1704</v>
      </c>
      <c r="M17" s="2">
        <v>1493</v>
      </c>
      <c r="N17" s="2">
        <f>+M17/$M$3*12</f>
        <v>1791.6000000000001</v>
      </c>
      <c r="O17" s="2">
        <v>1500</v>
      </c>
      <c r="P17" s="2">
        <v>1500</v>
      </c>
      <c r="Q17" s="2">
        <v>1500</v>
      </c>
      <c r="R17" s="2">
        <v>1500</v>
      </c>
      <c r="S17" s="92">
        <f t="shared" si="0"/>
        <v>0</v>
      </c>
    </row>
    <row r="18" spans="1:20" ht="12.75">
      <c r="A18" t="s">
        <v>237</v>
      </c>
      <c r="B18" s="4">
        <v>52.22</v>
      </c>
      <c r="C18" s="2">
        <v>8563</v>
      </c>
      <c r="D18" s="2">
        <v>7582</v>
      </c>
      <c r="E18" s="2">
        <v>3873</v>
      </c>
      <c r="F18" s="2"/>
      <c r="G18" s="2">
        <v>2624</v>
      </c>
      <c r="H18" s="2">
        <v>1150</v>
      </c>
      <c r="I18" s="2">
        <v>2358</v>
      </c>
      <c r="J18" s="2">
        <v>2446</v>
      </c>
      <c r="K18" s="2">
        <v>5540</v>
      </c>
      <c r="L18" s="2">
        <v>3744</v>
      </c>
      <c r="M18" s="2">
        <v>440.57</v>
      </c>
      <c r="N18" s="2">
        <f>+M18/$M$3*12</f>
        <v>528.684</v>
      </c>
      <c r="O18" s="2">
        <v>2500</v>
      </c>
      <c r="P18" s="2">
        <v>3500</v>
      </c>
      <c r="Q18" s="2"/>
      <c r="R18" s="2"/>
      <c r="S18" s="92">
        <f t="shared" si="0"/>
        <v>-1</v>
      </c>
      <c r="T18" t="s">
        <v>39</v>
      </c>
    </row>
    <row r="19" spans="1:19" ht="12.75">
      <c r="A19" t="s">
        <v>198</v>
      </c>
      <c r="B19" s="4">
        <v>52.2201</v>
      </c>
      <c r="C19" s="2"/>
      <c r="D19" s="2"/>
      <c r="E19" s="2">
        <v>670</v>
      </c>
      <c r="F19" s="2">
        <v>2247</v>
      </c>
      <c r="G19" s="2">
        <v>180</v>
      </c>
      <c r="H19" s="2">
        <v>160</v>
      </c>
      <c r="I19" s="2">
        <v>160</v>
      </c>
      <c r="J19" s="2"/>
      <c r="K19" s="2">
        <v>1749</v>
      </c>
      <c r="L19" s="2"/>
      <c r="M19" s="2"/>
      <c r="N19" s="2"/>
      <c r="O19" s="2"/>
      <c r="P19" s="2"/>
      <c r="Q19" s="2"/>
      <c r="R19" s="2"/>
      <c r="S19" s="92"/>
    </row>
    <row r="20" spans="1:19" ht="12.75" hidden="1">
      <c r="A20" t="s">
        <v>199</v>
      </c>
      <c r="B20" s="4">
        <v>52.2205</v>
      </c>
      <c r="C20" s="2">
        <v>2466</v>
      </c>
      <c r="D20" s="2">
        <v>2563</v>
      </c>
      <c r="E20" s="2">
        <v>1081</v>
      </c>
      <c r="F20" s="2">
        <v>230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 hidden="1">
      <c r="A21" t="s">
        <v>185</v>
      </c>
      <c r="B21" s="4">
        <v>52.2206</v>
      </c>
      <c r="C21" s="2"/>
      <c r="D21" s="2"/>
      <c r="E21" s="2"/>
      <c r="F21" s="2">
        <v>77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2"/>
    </row>
    <row r="22" spans="1:19" ht="12.75">
      <c r="A22" t="s">
        <v>142</v>
      </c>
      <c r="B22" s="4">
        <v>52.321</v>
      </c>
      <c r="C22" s="2"/>
      <c r="D22" s="2"/>
      <c r="E22" s="2">
        <v>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2" t="e">
        <f t="shared" si="0"/>
        <v>#DIV/0!</v>
      </c>
    </row>
    <row r="23" spans="1:19" ht="12.75">
      <c r="A23" t="s">
        <v>154</v>
      </c>
      <c r="B23" s="4">
        <v>52.35</v>
      </c>
      <c r="C23" s="2">
        <v>853</v>
      </c>
      <c r="D23" s="2">
        <v>625</v>
      </c>
      <c r="E23" s="2">
        <v>1211</v>
      </c>
      <c r="F23" s="2">
        <v>556</v>
      </c>
      <c r="G23" s="2">
        <v>211</v>
      </c>
      <c r="H23" s="2">
        <v>786</v>
      </c>
      <c r="I23" s="2">
        <v>609</v>
      </c>
      <c r="J23" s="2">
        <v>58</v>
      </c>
      <c r="K23" s="2">
        <v>342</v>
      </c>
      <c r="L23" s="2">
        <v>166</v>
      </c>
      <c r="M23" s="11"/>
      <c r="N23" s="2">
        <f>+M23/$M$3*12</f>
        <v>0</v>
      </c>
      <c r="O23" s="2">
        <v>400</v>
      </c>
      <c r="P23" s="2">
        <v>400</v>
      </c>
      <c r="Q23" s="2">
        <v>200</v>
      </c>
      <c r="R23" s="2">
        <v>200</v>
      </c>
      <c r="S23" s="92">
        <f t="shared" si="0"/>
        <v>-0.5</v>
      </c>
    </row>
    <row r="24" spans="1:19" ht="12.75" hidden="1">
      <c r="A24" t="s">
        <v>144</v>
      </c>
      <c r="B24" s="4">
        <v>52.3602</v>
      </c>
      <c r="C24" s="2"/>
      <c r="D24" s="2"/>
      <c r="E24" s="2">
        <v>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92"/>
    </row>
    <row r="25" spans="1:20" ht="12.75">
      <c r="A25" t="s">
        <v>155</v>
      </c>
      <c r="B25" s="4">
        <v>52.37</v>
      </c>
      <c r="C25" s="2"/>
      <c r="D25" s="2"/>
      <c r="E25" s="2">
        <v>105</v>
      </c>
      <c r="F25" s="2"/>
      <c r="G25" s="2">
        <v>576</v>
      </c>
      <c r="H25" s="2"/>
      <c r="I25" s="2"/>
      <c r="J25" s="2"/>
      <c r="K25" s="2">
        <v>480</v>
      </c>
      <c r="L25" s="2"/>
      <c r="M25" s="2"/>
      <c r="N25" s="2"/>
      <c r="O25" s="2">
        <v>500</v>
      </c>
      <c r="P25" s="2">
        <v>500</v>
      </c>
      <c r="Q25" s="2">
        <v>300</v>
      </c>
      <c r="R25" s="2">
        <v>300</v>
      </c>
      <c r="S25" s="92"/>
      <c r="T25" s="10"/>
    </row>
    <row r="26" spans="2:20" ht="12.75">
      <c r="B26" s="4"/>
      <c r="C26" s="2"/>
      <c r="D26" s="2"/>
      <c r="E26" s="2"/>
      <c r="F26" s="2"/>
      <c r="G26" s="2"/>
      <c r="H26" s="2"/>
      <c r="I26" s="2"/>
      <c r="J26" s="2">
        <v>114</v>
      </c>
      <c r="K26" s="2"/>
      <c r="L26" s="2"/>
      <c r="M26" s="2"/>
      <c r="N26" s="2"/>
      <c r="O26" s="2"/>
      <c r="P26" s="2"/>
      <c r="Q26" s="2"/>
      <c r="R26" s="2"/>
      <c r="S26" s="92"/>
      <c r="T26" s="10"/>
    </row>
    <row r="27" spans="1:19" ht="12.75">
      <c r="A27" t="s">
        <v>148</v>
      </c>
      <c r="B27" s="4">
        <v>53.12</v>
      </c>
      <c r="C27" s="2">
        <v>29019</v>
      </c>
      <c r="D27" s="2">
        <v>29793</v>
      </c>
      <c r="E27" s="2">
        <v>31934</v>
      </c>
      <c r="F27" s="2">
        <v>29883</v>
      </c>
      <c r="G27" s="2">
        <v>30335</v>
      </c>
      <c r="H27" s="2">
        <v>28069</v>
      </c>
      <c r="I27" s="2">
        <v>30918</v>
      </c>
      <c r="J27" s="2">
        <v>45697</v>
      </c>
      <c r="K27" s="2">
        <v>40455</v>
      </c>
      <c r="L27" s="2">
        <v>45545</v>
      </c>
      <c r="M27" s="2">
        <v>36172</v>
      </c>
      <c r="N27" s="2">
        <f>+M27/$M$3*12</f>
        <v>43406.399999999994</v>
      </c>
      <c r="O27" s="2">
        <v>38000</v>
      </c>
      <c r="P27" s="2">
        <v>39000</v>
      </c>
      <c r="Q27" s="2">
        <v>39000</v>
      </c>
      <c r="R27" s="2">
        <v>39000</v>
      </c>
      <c r="S27" s="92">
        <f t="shared" si="0"/>
        <v>0.02631578947368421</v>
      </c>
    </row>
    <row r="28" spans="1:19" ht="12.75">
      <c r="A28" t="s">
        <v>238</v>
      </c>
      <c r="B28" s="4">
        <v>53.131</v>
      </c>
      <c r="C28" s="2">
        <v>67525</v>
      </c>
      <c r="D28" s="2">
        <v>81806</v>
      </c>
      <c r="E28" s="2">
        <v>86317</v>
      </c>
      <c r="F28" s="2">
        <v>84937</v>
      </c>
      <c r="G28" s="2">
        <v>91524</v>
      </c>
      <c r="H28" s="2">
        <v>86825</v>
      </c>
      <c r="I28" s="2">
        <f>82041+8655</f>
        <v>90696</v>
      </c>
      <c r="J28" s="2">
        <v>111182</v>
      </c>
      <c r="K28" s="2">
        <v>105246</v>
      </c>
      <c r="L28" s="2">
        <v>125127</v>
      </c>
      <c r="M28" s="2">
        <v>85324</v>
      </c>
      <c r="N28" s="2">
        <f>+M28/$M$3*12</f>
        <v>102388.79999999999</v>
      </c>
      <c r="O28" s="2">
        <v>103000</v>
      </c>
      <c r="P28" s="2">
        <v>103000</v>
      </c>
      <c r="Q28" s="2">
        <v>103000</v>
      </c>
      <c r="R28" s="2">
        <v>103000</v>
      </c>
      <c r="S28" s="92">
        <f t="shared" si="0"/>
        <v>0</v>
      </c>
    </row>
    <row r="29" spans="1:20" ht="12.75">
      <c r="A29" t="s">
        <v>200</v>
      </c>
      <c r="B29" s="4">
        <v>53.1702</v>
      </c>
      <c r="C29" s="2">
        <v>5998</v>
      </c>
      <c r="D29" s="2">
        <v>7279</v>
      </c>
      <c r="E29" s="2">
        <v>379</v>
      </c>
      <c r="F29" s="2"/>
      <c r="G29" s="2">
        <v>4350</v>
      </c>
      <c r="H29" s="2"/>
      <c r="I29" s="2">
        <v>668</v>
      </c>
      <c r="J29" s="2">
        <v>3172</v>
      </c>
      <c r="K29" s="2">
        <v>6906</v>
      </c>
      <c r="L29" s="2">
        <v>3942</v>
      </c>
      <c r="M29" s="2">
        <v>427</v>
      </c>
      <c r="N29" s="2">
        <f>+M29/$M$3*12</f>
        <v>512.4000000000001</v>
      </c>
      <c r="O29" s="2">
        <v>3000</v>
      </c>
      <c r="P29" s="2">
        <v>3000</v>
      </c>
      <c r="Q29" s="2"/>
      <c r="R29" s="2"/>
      <c r="S29" s="92">
        <f t="shared" si="0"/>
        <v>-1</v>
      </c>
      <c r="T29" t="s">
        <v>39</v>
      </c>
    </row>
    <row r="30" spans="1:19" ht="12.75" hidden="1">
      <c r="A30" t="s">
        <v>174</v>
      </c>
      <c r="B30" s="4">
        <v>53.1704</v>
      </c>
      <c r="C30" s="2"/>
      <c r="D30" s="2"/>
      <c r="E30" s="2">
        <v>141</v>
      </c>
      <c r="F30" s="2">
        <v>349</v>
      </c>
      <c r="G30" s="2"/>
      <c r="H30" s="2">
        <v>107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92" t="e">
        <f t="shared" si="0"/>
        <v>#DIV/0!</v>
      </c>
    </row>
    <row r="31" spans="1:19" ht="12.75" hidden="1">
      <c r="A31" t="s">
        <v>243</v>
      </c>
      <c r="B31" s="4">
        <v>53.1706</v>
      </c>
      <c r="C31" s="2"/>
      <c r="D31" s="2"/>
      <c r="E31" s="2"/>
      <c r="F31" s="2">
        <v>289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2"/>
    </row>
    <row r="32" spans="1:20" ht="12.75">
      <c r="A32" t="s">
        <v>149</v>
      </c>
      <c r="B32" s="4">
        <v>53.171</v>
      </c>
      <c r="C32" s="2">
        <v>687</v>
      </c>
      <c r="D32" s="2">
        <v>456</v>
      </c>
      <c r="E32" s="2">
        <v>843</v>
      </c>
      <c r="F32" s="2">
        <v>1401</v>
      </c>
      <c r="G32" s="2">
        <v>1954</v>
      </c>
      <c r="H32" s="2">
        <v>2069</v>
      </c>
      <c r="I32" s="2">
        <v>1921</v>
      </c>
      <c r="J32" s="2">
        <v>1261</v>
      </c>
      <c r="K32" s="2">
        <v>2308</v>
      </c>
      <c r="L32" s="2">
        <v>2362</v>
      </c>
      <c r="M32" s="11">
        <v>320</v>
      </c>
      <c r="N32" s="2">
        <f>+M32/$M$3*12</f>
        <v>384</v>
      </c>
      <c r="O32" s="2">
        <v>2000</v>
      </c>
      <c r="P32" s="2">
        <v>2500</v>
      </c>
      <c r="Q32" s="2"/>
      <c r="R32" s="2"/>
      <c r="S32" s="92">
        <f t="shared" si="0"/>
        <v>-1</v>
      </c>
      <c r="T32" t="s">
        <v>39</v>
      </c>
    </row>
    <row r="33" spans="1:20" ht="12.75">
      <c r="A33" t="s">
        <v>150</v>
      </c>
      <c r="B33" s="4">
        <v>53.172</v>
      </c>
      <c r="C33" s="2"/>
      <c r="D33" s="2"/>
      <c r="E33" s="2">
        <v>2115</v>
      </c>
      <c r="F33" s="2">
        <v>5765</v>
      </c>
      <c r="G33" s="2">
        <v>2148</v>
      </c>
      <c r="H33" s="2">
        <v>2165</v>
      </c>
      <c r="I33" s="2">
        <v>4623</v>
      </c>
      <c r="J33" s="2">
        <v>2688</v>
      </c>
      <c r="K33" s="2">
        <f>3644+1757</f>
        <v>5401</v>
      </c>
      <c r="L33" s="2">
        <f>4510+46</f>
        <v>4556</v>
      </c>
      <c r="M33" s="11">
        <v>2265</v>
      </c>
      <c r="N33" s="2">
        <v>3000</v>
      </c>
      <c r="O33" s="2">
        <v>3000</v>
      </c>
      <c r="P33" s="2">
        <v>3500</v>
      </c>
      <c r="Q33" s="2"/>
      <c r="R33" s="2"/>
      <c r="S33" s="92">
        <f t="shared" si="0"/>
        <v>-1</v>
      </c>
      <c r="T33" t="s">
        <v>39</v>
      </c>
    </row>
    <row r="34" spans="1:19" ht="12.75" hidden="1">
      <c r="A34" t="s">
        <v>239</v>
      </c>
      <c r="B34" s="4">
        <v>53.1726</v>
      </c>
      <c r="C34" s="2">
        <v>352</v>
      </c>
      <c r="D34" s="2"/>
      <c r="E34" s="2">
        <v>813</v>
      </c>
      <c r="F34" s="2"/>
      <c r="G34" s="2">
        <v>57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92"/>
    </row>
    <row r="35" spans="1:19" ht="12.75">
      <c r="A35" t="s">
        <v>240</v>
      </c>
      <c r="B35" s="4">
        <v>53.174</v>
      </c>
      <c r="C35" s="2">
        <v>3457</v>
      </c>
      <c r="D35" s="2">
        <v>5661</v>
      </c>
      <c r="E35" s="2">
        <v>5741</v>
      </c>
      <c r="F35" s="2">
        <v>5129</v>
      </c>
      <c r="G35" s="2">
        <v>4237</v>
      </c>
      <c r="H35" s="2">
        <v>5431</v>
      </c>
      <c r="I35" s="2">
        <f>6205+551</f>
        <v>6756</v>
      </c>
      <c r="J35" s="2">
        <v>5197</v>
      </c>
      <c r="K35" s="2">
        <f>4780+406</f>
        <v>5186</v>
      </c>
      <c r="L35" s="2">
        <f>-105+688</f>
        <v>583</v>
      </c>
      <c r="M35" s="2">
        <v>4727</v>
      </c>
      <c r="N35" s="2">
        <v>5000</v>
      </c>
      <c r="O35" s="2">
        <v>5000</v>
      </c>
      <c r="P35" s="2">
        <v>5000</v>
      </c>
      <c r="Q35" s="2">
        <v>5000</v>
      </c>
      <c r="R35" s="2">
        <v>5000</v>
      </c>
      <c r="S35" s="92">
        <f t="shared" si="0"/>
        <v>0</v>
      </c>
    </row>
    <row r="36" spans="1:19" ht="12.75">
      <c r="A36" t="s">
        <v>228</v>
      </c>
      <c r="B36" s="4">
        <v>53.173</v>
      </c>
      <c r="C36" s="2"/>
      <c r="D36" s="2"/>
      <c r="E36" s="2"/>
      <c r="F36" s="2"/>
      <c r="G36" s="2"/>
      <c r="H36" s="2"/>
      <c r="I36" s="2"/>
      <c r="J36" s="2"/>
      <c r="K36" s="2"/>
      <c r="L36" s="2">
        <v>5247</v>
      </c>
      <c r="M36" s="2"/>
      <c r="N36" s="2"/>
      <c r="O36" s="2"/>
      <c r="P36" s="2"/>
      <c r="Q36" s="2"/>
      <c r="R36" s="2"/>
      <c r="S36" s="92"/>
    </row>
    <row r="37" spans="1:19" ht="12.75">
      <c r="A37" t="s">
        <v>241</v>
      </c>
      <c r="B37" s="4">
        <v>57.109</v>
      </c>
      <c r="C37" s="2">
        <v>19766</v>
      </c>
      <c r="D37" s="2">
        <v>1210</v>
      </c>
      <c r="E37" s="2">
        <v>12315</v>
      </c>
      <c r="F37" s="2">
        <v>12455</v>
      </c>
      <c r="G37" s="2">
        <v>9420</v>
      </c>
      <c r="H37" s="2">
        <v>8220</v>
      </c>
      <c r="I37" s="2">
        <f>2730+3220</f>
        <v>5950</v>
      </c>
      <c r="J37" s="2">
        <v>26933</v>
      </c>
      <c r="K37" s="2">
        <v>44120</v>
      </c>
      <c r="L37" s="2">
        <f>18070+5280</f>
        <v>23350</v>
      </c>
      <c r="M37" s="2">
        <v>39770</v>
      </c>
      <c r="N37" s="2">
        <f>+M37/$M$3*12</f>
        <v>47724</v>
      </c>
      <c r="O37" s="2">
        <v>40000</v>
      </c>
      <c r="P37" s="2">
        <v>40000</v>
      </c>
      <c r="Q37" s="2">
        <v>40000</v>
      </c>
      <c r="R37" s="2">
        <v>40000</v>
      </c>
      <c r="S37" s="92">
        <f t="shared" si="0"/>
        <v>0</v>
      </c>
    </row>
    <row r="38" spans="1:19" ht="12.75" hidden="1">
      <c r="A38" t="s">
        <v>242</v>
      </c>
      <c r="B38" s="4">
        <v>53.18</v>
      </c>
      <c r="C38" s="5"/>
      <c r="D38" s="5"/>
      <c r="E38" s="2">
        <v>191</v>
      </c>
      <c r="F38" s="5"/>
      <c r="G38" s="5"/>
      <c r="H38" s="5"/>
      <c r="I38" s="5"/>
      <c r="J38" s="5"/>
      <c r="K38" s="5"/>
      <c r="L38" s="5"/>
      <c r="M38" s="5"/>
      <c r="N38" s="2">
        <f>+M38/$M$3*12</f>
        <v>0</v>
      </c>
      <c r="O38" s="2"/>
      <c r="P38" s="5"/>
      <c r="Q38" s="2"/>
      <c r="R38" s="2"/>
      <c r="S38" s="52"/>
    </row>
    <row r="39" spans="1:19" ht="12.75" hidden="1">
      <c r="A39" t="s">
        <v>327</v>
      </c>
      <c r="B39" s="4"/>
      <c r="C39">
        <v>960</v>
      </c>
      <c r="D39" s="5"/>
      <c r="E39" s="5"/>
      <c r="F39" s="5"/>
      <c r="G39" s="5"/>
      <c r="H39" s="5"/>
      <c r="I39" s="2">
        <v>258</v>
      </c>
      <c r="J39" s="2"/>
      <c r="K39" s="2"/>
      <c r="L39" s="2"/>
      <c r="M39" s="5"/>
      <c r="N39" s="2">
        <f>+M39/$M$3*12</f>
        <v>0</v>
      </c>
      <c r="O39" s="2"/>
      <c r="P39" s="5"/>
      <c r="Q39" s="2"/>
      <c r="R39" s="2"/>
      <c r="S39" s="52"/>
    </row>
    <row r="40" spans="2:19" ht="12.75">
      <c r="B40" s="4"/>
      <c r="D40" s="5"/>
      <c r="E40" s="5"/>
      <c r="F40" s="5"/>
      <c r="G40" s="5"/>
      <c r="H40" s="5"/>
      <c r="I40" s="2"/>
      <c r="J40" s="2"/>
      <c r="K40" s="2"/>
      <c r="L40" s="2"/>
      <c r="M40" s="5"/>
      <c r="N40" s="2"/>
      <c r="O40" s="2"/>
      <c r="P40" s="5"/>
      <c r="Q40" s="2"/>
      <c r="R40" s="2"/>
      <c r="S40" s="52"/>
    </row>
    <row r="41" spans="1:19" ht="12.75">
      <c r="A41" t="s">
        <v>375</v>
      </c>
      <c r="B41" s="4"/>
      <c r="D41" s="5"/>
      <c r="E41" s="5"/>
      <c r="F41" s="5"/>
      <c r="G41" s="5"/>
      <c r="H41" s="5"/>
      <c r="I41" s="2"/>
      <c r="J41" s="2"/>
      <c r="K41" s="2"/>
      <c r="L41" s="2"/>
      <c r="M41" s="5"/>
      <c r="N41" s="2"/>
      <c r="O41" s="2"/>
      <c r="P41" s="2">
        <v>15000</v>
      </c>
      <c r="Q41" s="2"/>
      <c r="R41" s="2"/>
      <c r="S41" s="52"/>
    </row>
    <row r="42" spans="1:19" ht="12.75">
      <c r="A42" t="s">
        <v>325</v>
      </c>
      <c r="B42" s="4"/>
      <c r="C42" s="5"/>
      <c r="D42">
        <v>11</v>
      </c>
      <c r="M42" s="5"/>
      <c r="N42" s="2"/>
      <c r="O42" s="5"/>
      <c r="P42" s="5"/>
      <c r="Q42" s="5"/>
      <c r="R42" s="139"/>
      <c r="S42" s="52"/>
    </row>
    <row r="43" spans="2:19" ht="12.75">
      <c r="B43" s="4"/>
      <c r="C43" s="5"/>
      <c r="M43" s="5"/>
      <c r="N43" s="2"/>
      <c r="O43" s="5"/>
      <c r="P43" s="5"/>
      <c r="Q43" s="5"/>
      <c r="R43" s="139"/>
      <c r="S43" s="52"/>
    </row>
    <row r="44" spans="1:19" ht="12.75">
      <c r="A44" s="6" t="s">
        <v>116</v>
      </c>
      <c r="B44" s="6"/>
      <c r="C44" s="7">
        <f aca="true" t="shared" si="1" ref="C44:I44">SUM(C7:C42)</f>
        <v>580676</v>
      </c>
      <c r="D44" s="8">
        <f t="shared" si="1"/>
        <v>542746</v>
      </c>
      <c r="E44" s="8">
        <f t="shared" si="1"/>
        <v>639988</v>
      </c>
      <c r="F44" s="8">
        <f t="shared" si="1"/>
        <v>721590</v>
      </c>
      <c r="G44" s="8">
        <f t="shared" si="1"/>
        <v>717429</v>
      </c>
      <c r="H44" s="8">
        <f t="shared" si="1"/>
        <v>757704</v>
      </c>
      <c r="I44" s="8">
        <f t="shared" si="1"/>
        <v>774334</v>
      </c>
      <c r="J44" s="8">
        <v>904417</v>
      </c>
      <c r="K44" s="8">
        <f aca="true" t="shared" si="2" ref="K44:Q44">SUM(K7:K43)</f>
        <v>991311</v>
      </c>
      <c r="L44" s="8">
        <v>998072</v>
      </c>
      <c r="M44" s="8">
        <f t="shared" si="2"/>
        <v>789336.57</v>
      </c>
      <c r="N44" s="8">
        <f t="shared" si="2"/>
        <v>950531.884</v>
      </c>
      <c r="O44" s="8">
        <f t="shared" si="2"/>
        <v>938894.81633</v>
      </c>
      <c r="P44" s="8">
        <f>SUM(P7:P43)</f>
        <v>1007590</v>
      </c>
      <c r="Q44" s="8">
        <f t="shared" si="2"/>
        <v>979690.7494850002</v>
      </c>
      <c r="R44" s="8">
        <f>SUM(R7:R43)</f>
        <v>979690.7494850002</v>
      </c>
      <c r="S44" s="53">
        <f t="shared" si="0"/>
        <v>0.043451015433726044</v>
      </c>
    </row>
    <row r="45" ht="12.75">
      <c r="S45" s="52"/>
    </row>
    <row r="46" spans="15:19" ht="12.75">
      <c r="O46" s="22" t="s">
        <v>488</v>
      </c>
      <c r="P46" s="22"/>
      <c r="Q46" s="56">
        <f>P44-Q44</f>
        <v>27899.250514999847</v>
      </c>
      <c r="S46" s="52"/>
    </row>
    <row r="47" spans="15:19" ht="12.75">
      <c r="O47" s="22" t="s">
        <v>761</v>
      </c>
      <c r="P47" s="22"/>
      <c r="Q47" s="56">
        <f>O44-Q44</f>
        <v>-40795.93315500021</v>
      </c>
      <c r="S47" s="52"/>
    </row>
    <row r="48" spans="1:19" ht="12.75">
      <c r="A48" s="6"/>
      <c r="O48" s="22" t="s">
        <v>436</v>
      </c>
      <c r="P48" s="22"/>
      <c r="Q48" s="56">
        <f>Q44-R44</f>
        <v>0</v>
      </c>
      <c r="S48" s="52"/>
    </row>
    <row r="49" ht="12.75">
      <c r="S49" s="52"/>
    </row>
    <row r="50" spans="1:19" ht="12.75">
      <c r="A50" t="s">
        <v>844</v>
      </c>
      <c r="S50" s="52"/>
    </row>
    <row r="51" spans="1:19" ht="12.75">
      <c r="A51" s="15"/>
      <c r="S51" s="52"/>
    </row>
    <row r="52" spans="1:19" ht="12.75">
      <c r="A52" t="s">
        <v>577</v>
      </c>
      <c r="S52" s="52"/>
    </row>
    <row r="53" ht="12.75">
      <c r="S53" s="52"/>
    </row>
    <row r="54" ht="12.75">
      <c r="A54" t="s">
        <v>31</v>
      </c>
    </row>
    <row r="56" spans="1:15" ht="12.75">
      <c r="A56" t="s">
        <v>517</v>
      </c>
      <c r="B56" t="s">
        <v>1040</v>
      </c>
      <c r="N56" s="4"/>
      <c r="O56" s="168"/>
    </row>
    <row r="60" ht="12.75">
      <c r="Q60" s="5"/>
    </row>
    <row r="61" ht="12.75">
      <c r="Q61" s="5"/>
    </row>
    <row r="62" ht="12.75">
      <c r="Q62" s="5"/>
    </row>
    <row r="63" ht="12.75">
      <c r="Q63" s="5"/>
    </row>
    <row r="64" ht="12.75">
      <c r="Q64" s="5"/>
    </row>
    <row r="65" ht="12.75">
      <c r="Q65" s="5"/>
    </row>
    <row r="66" ht="12.75">
      <c r="Q66" s="5"/>
    </row>
    <row r="68" ht="12.75">
      <c r="Q68" s="5"/>
    </row>
    <row r="69" ht="12.75">
      <c r="Q69" s="5"/>
    </row>
    <row r="70" ht="12.75">
      <c r="Q70" s="5"/>
    </row>
    <row r="74" ht="12.75">
      <c r="Q74" s="5"/>
    </row>
    <row r="75" ht="12.75">
      <c r="Q75" s="5"/>
    </row>
    <row r="76" ht="12.75">
      <c r="Q76" s="5"/>
    </row>
    <row r="77" ht="12.75">
      <c r="Q77" s="5"/>
    </row>
    <row r="78" spans="17:19" ht="12.75">
      <c r="Q78" s="5"/>
      <c r="S78" s="2"/>
    </row>
    <row r="79" spans="17:19" ht="12.75">
      <c r="Q79" s="5"/>
      <c r="S79" s="2"/>
    </row>
    <row r="80" ht="12.75">
      <c r="S80" s="2"/>
    </row>
    <row r="81" spans="17:19" ht="12.75">
      <c r="Q81" s="5"/>
      <c r="S81" s="2"/>
    </row>
    <row r="82" spans="17:19" ht="12.75">
      <c r="Q82" s="5"/>
      <c r="S82" s="2"/>
    </row>
    <row r="83" ht="12.75">
      <c r="S83" s="2"/>
    </row>
    <row r="88" spans="3:18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U83"/>
  <sheetViews>
    <sheetView zoomScale="75" zoomScaleNormal="75" workbookViewId="0" topLeftCell="A1">
      <selection activeCell="Q12" sqref="Q1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6.421875" style="0" hidden="1" customWidth="1"/>
    <col min="5" max="5" width="6.8515625" style="0" hidden="1" customWidth="1"/>
    <col min="6" max="8" width="7.57421875" style="0" hidden="1" customWidth="1"/>
    <col min="9" max="11" width="7.57421875" style="0" customWidth="1"/>
    <col min="12" max="12" width="7.57421875" style="0" bestFit="1" customWidth="1"/>
    <col min="13" max="13" width="8.00390625" style="0" bestFit="1" customWidth="1"/>
    <col min="14" max="14" width="9.7109375" style="0" customWidth="1"/>
    <col min="15" max="15" width="10.28125" style="0" bestFit="1" customWidth="1"/>
    <col min="16" max="16" width="11.7109375" style="0" customWidth="1"/>
    <col min="17" max="17" width="8.710937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8" ht="12.75">
      <c r="A3" s="6" t="s">
        <v>465</v>
      </c>
      <c r="L3" s="57">
        <v>10</v>
      </c>
      <c r="M3" s="9"/>
      <c r="R3" s="1" t="s">
        <v>438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434</v>
      </c>
      <c r="M4" s="9"/>
      <c r="N4" s="1"/>
      <c r="O4" s="3" t="s">
        <v>111</v>
      </c>
      <c r="P4" s="3" t="s">
        <v>617</v>
      </c>
      <c r="Q4" s="3" t="s">
        <v>618</v>
      </c>
      <c r="R4" s="1" t="s">
        <v>439</v>
      </c>
    </row>
    <row r="5" spans="3:18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435</v>
      </c>
      <c r="N5" s="1" t="s">
        <v>354</v>
      </c>
      <c r="O5" s="3" t="s">
        <v>112</v>
      </c>
      <c r="P5" s="3" t="s">
        <v>113</v>
      </c>
      <c r="Q5" s="3" t="s">
        <v>114</v>
      </c>
      <c r="R5" s="1" t="s">
        <v>427</v>
      </c>
    </row>
    <row r="6" spans="1:19" ht="12.75">
      <c r="A6" t="s">
        <v>118</v>
      </c>
      <c r="C6" s="39">
        <v>2000</v>
      </c>
      <c r="D6" s="39">
        <v>2001</v>
      </c>
      <c r="E6" s="39">
        <v>2002</v>
      </c>
      <c r="F6" s="39">
        <v>2003</v>
      </c>
      <c r="G6" s="39">
        <v>2004</v>
      </c>
      <c r="H6" s="39">
        <v>2005</v>
      </c>
      <c r="I6" s="39">
        <v>2006</v>
      </c>
      <c r="J6" s="39">
        <v>2007</v>
      </c>
      <c r="K6" s="39">
        <v>2008</v>
      </c>
      <c r="L6" s="23">
        <v>2009</v>
      </c>
      <c r="M6" s="23">
        <v>2009</v>
      </c>
      <c r="N6" s="23">
        <v>2009</v>
      </c>
      <c r="O6" s="23">
        <v>2010</v>
      </c>
      <c r="P6" s="23">
        <v>2010</v>
      </c>
      <c r="Q6" s="23">
        <v>2010</v>
      </c>
      <c r="R6" s="162" t="s">
        <v>53</v>
      </c>
      <c r="S6" s="58" t="s">
        <v>115</v>
      </c>
    </row>
    <row r="7" spans="1:19" ht="12" customHeight="1">
      <c r="A7" t="s">
        <v>706</v>
      </c>
      <c r="B7" s="4"/>
      <c r="C7" s="103"/>
      <c r="D7" s="103"/>
      <c r="E7" s="103"/>
      <c r="F7" s="103">
        <v>6</v>
      </c>
      <c r="G7" s="103"/>
      <c r="H7" s="103"/>
      <c r="I7" s="103"/>
      <c r="J7" s="103"/>
      <c r="K7" s="103"/>
      <c r="L7" s="103"/>
      <c r="M7" s="103"/>
      <c r="N7" s="103"/>
      <c r="O7" s="107"/>
      <c r="P7" s="103"/>
      <c r="Q7" s="103"/>
      <c r="R7" s="103"/>
      <c r="S7" s="121" t="s">
        <v>376</v>
      </c>
    </row>
    <row r="8" spans="1:18" ht="0.75" customHeight="1" hidden="1">
      <c r="A8" t="s">
        <v>277</v>
      </c>
      <c r="B8" s="4">
        <v>53.176</v>
      </c>
      <c r="C8" s="2"/>
      <c r="D8" s="2"/>
      <c r="E8" s="2"/>
      <c r="F8" s="2"/>
      <c r="G8" s="2"/>
      <c r="H8" s="2">
        <v>18</v>
      </c>
      <c r="I8" s="2"/>
      <c r="J8" s="2"/>
      <c r="K8" s="2"/>
      <c r="L8" s="2"/>
      <c r="M8" s="2">
        <f>+L8/$L$3*12</f>
        <v>0</v>
      </c>
      <c r="R8" s="92"/>
    </row>
    <row r="9" spans="1:18" ht="12.75" hidden="1">
      <c r="A9" t="s">
        <v>191</v>
      </c>
      <c r="B9" s="4">
        <v>53.178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R9" s="92"/>
    </row>
    <row r="10" spans="1:18" ht="12.75">
      <c r="A10" t="s">
        <v>282</v>
      </c>
      <c r="B10" s="4">
        <v>53.175</v>
      </c>
      <c r="C10" s="2"/>
      <c r="D10" s="2"/>
      <c r="E10" s="2"/>
      <c r="F10" s="2"/>
      <c r="G10" s="2"/>
      <c r="H10" s="2"/>
      <c r="I10" s="2"/>
      <c r="J10" s="2">
        <v>20</v>
      </c>
      <c r="K10" s="2">
        <v>9</v>
      </c>
      <c r="L10" s="2">
        <v>17</v>
      </c>
      <c r="M10" s="2"/>
      <c r="R10" s="92"/>
    </row>
    <row r="11" spans="1:18" ht="12.75">
      <c r="A11" t="s">
        <v>277</v>
      </c>
      <c r="B11" s="4"/>
      <c r="C11" s="2"/>
      <c r="D11" s="2"/>
      <c r="E11" s="2"/>
      <c r="F11" s="2"/>
      <c r="G11" s="2"/>
      <c r="H11" s="2"/>
      <c r="I11" s="2"/>
      <c r="J11" s="2">
        <v>5</v>
      </c>
      <c r="K11" s="2">
        <v>15</v>
      </c>
      <c r="L11" s="2"/>
      <c r="M11" s="2"/>
      <c r="R11" s="92"/>
    </row>
    <row r="12" spans="1:19" ht="12.75">
      <c r="A12" t="s">
        <v>179</v>
      </c>
      <c r="B12" s="4">
        <v>53.179</v>
      </c>
      <c r="C12" s="2"/>
      <c r="D12" s="2"/>
      <c r="E12" s="2">
        <v>6903</v>
      </c>
      <c r="F12" s="2">
        <v>9764</v>
      </c>
      <c r="G12" s="2">
        <v>13985</v>
      </c>
      <c r="H12" s="2">
        <v>20503</v>
      </c>
      <c r="I12" s="2">
        <v>32461</v>
      </c>
      <c r="J12" s="2">
        <v>26644</v>
      </c>
      <c r="K12" s="2">
        <v>36856</v>
      </c>
      <c r="L12" s="2">
        <v>14840</v>
      </c>
      <c r="M12" s="2">
        <v>20000</v>
      </c>
      <c r="N12" s="2">
        <v>30000</v>
      </c>
      <c r="O12" s="2">
        <v>30000</v>
      </c>
      <c r="P12" s="2">
        <v>30000</v>
      </c>
      <c r="Q12" s="2">
        <v>30000</v>
      </c>
      <c r="R12" s="92">
        <f>(Q12-N12)/N12</f>
        <v>0</v>
      </c>
      <c r="S12" t="s">
        <v>514</v>
      </c>
    </row>
    <row r="13" spans="1:18" ht="12.75" hidden="1">
      <c r="A13" t="s">
        <v>242</v>
      </c>
      <c r="B13" s="4">
        <v>53.18</v>
      </c>
      <c r="C13" s="2"/>
      <c r="D13" s="2"/>
      <c r="E13" s="2">
        <v>995</v>
      </c>
      <c r="F13" s="2">
        <v>508</v>
      </c>
      <c r="G13" s="2">
        <v>273</v>
      </c>
      <c r="H13" s="2">
        <v>110</v>
      </c>
      <c r="I13" s="2"/>
      <c r="J13" s="2"/>
      <c r="K13" s="2"/>
      <c r="L13" s="2"/>
      <c r="M13" s="2"/>
      <c r="N13" s="2"/>
      <c r="R13" s="92"/>
    </row>
    <row r="14" spans="1:18" ht="12.75" hidden="1">
      <c r="A14" t="s">
        <v>566</v>
      </c>
      <c r="B14" s="4">
        <v>54.22</v>
      </c>
      <c r="C14" s="5"/>
      <c r="D14" s="5"/>
      <c r="E14" s="5"/>
      <c r="F14" s="5"/>
      <c r="G14" s="2">
        <v>1518</v>
      </c>
      <c r="H14" s="2"/>
      <c r="I14" s="2"/>
      <c r="J14" s="2"/>
      <c r="K14" s="2"/>
      <c r="M14" s="2"/>
      <c r="N14" s="2"/>
      <c r="O14" s="5"/>
      <c r="P14" s="2"/>
      <c r="Q14" s="2"/>
      <c r="R14" s="92"/>
    </row>
    <row r="15" spans="1:18" ht="12.75" hidden="1">
      <c r="A15" t="s">
        <v>565</v>
      </c>
      <c r="B15" s="4">
        <v>54.25</v>
      </c>
      <c r="C15" s="5"/>
      <c r="D15" s="5"/>
      <c r="E15" s="5"/>
      <c r="F15" s="5"/>
      <c r="G15" s="2">
        <v>750</v>
      </c>
      <c r="H15" s="2"/>
      <c r="I15" s="2"/>
      <c r="J15" s="2"/>
      <c r="K15" s="2"/>
      <c r="M15" s="5"/>
      <c r="N15" s="2"/>
      <c r="O15" s="5"/>
      <c r="P15" s="5"/>
      <c r="Q15" s="5"/>
      <c r="R15" s="92"/>
    </row>
    <row r="16" spans="1:18" ht="12.75">
      <c r="A16" t="s">
        <v>242</v>
      </c>
      <c r="B16" s="4">
        <v>53.18</v>
      </c>
      <c r="C16" s="5"/>
      <c r="D16" s="5"/>
      <c r="E16" s="5"/>
      <c r="F16" s="5"/>
      <c r="G16" s="2"/>
      <c r="H16" s="2"/>
      <c r="I16" s="2"/>
      <c r="J16" s="2">
        <v>105</v>
      </c>
      <c r="K16" s="2">
        <v>88</v>
      </c>
      <c r="L16">
        <v>11</v>
      </c>
      <c r="M16" s="5"/>
      <c r="N16" s="2"/>
      <c r="O16" s="5"/>
      <c r="P16" s="5"/>
      <c r="Q16" s="5"/>
      <c r="R16" s="92"/>
    </row>
    <row r="17" spans="1:18" ht="12.75">
      <c r="A17" s="6" t="s">
        <v>116</v>
      </c>
      <c r="B17" s="6"/>
      <c r="C17" s="8">
        <f>SUM(C8:C15)</f>
        <v>0</v>
      </c>
      <c r="D17" s="8">
        <f>SUM(D8:D15)</f>
        <v>0</v>
      </c>
      <c r="E17" s="8">
        <f>SUM(E8:E15)</f>
        <v>7898</v>
      </c>
      <c r="F17" s="8">
        <f>SUM(F7:F15)</f>
        <v>10278</v>
      </c>
      <c r="G17" s="8">
        <f>SUM(G7:G15)</f>
        <v>16526</v>
      </c>
      <c r="H17" s="8">
        <f>SUM(H8:H15)</f>
        <v>20631</v>
      </c>
      <c r="I17" s="8">
        <v>32461</v>
      </c>
      <c r="J17" s="8">
        <f aca="true" t="shared" si="0" ref="J17:Q17">SUM(J7:J16)</f>
        <v>26774</v>
      </c>
      <c r="K17" s="8">
        <v>36968</v>
      </c>
      <c r="L17" s="8">
        <f t="shared" si="0"/>
        <v>14868</v>
      </c>
      <c r="M17" s="8">
        <f t="shared" si="0"/>
        <v>20000</v>
      </c>
      <c r="N17" s="8">
        <f t="shared" si="0"/>
        <v>30000</v>
      </c>
      <c r="O17" s="8">
        <f t="shared" si="0"/>
        <v>30000</v>
      </c>
      <c r="P17" s="8">
        <f t="shared" si="0"/>
        <v>30000</v>
      </c>
      <c r="Q17" s="8">
        <f t="shared" si="0"/>
        <v>30000</v>
      </c>
      <c r="R17" s="53">
        <f>(Q17-N17)/N17</f>
        <v>0</v>
      </c>
    </row>
    <row r="18" ht="12.75">
      <c r="R18" s="52"/>
    </row>
    <row r="19" spans="14:18" ht="12.75">
      <c r="N19" s="22" t="s">
        <v>488</v>
      </c>
      <c r="O19" s="22"/>
      <c r="P19" s="56">
        <f>O17-P17</f>
        <v>0</v>
      </c>
      <c r="R19" s="52"/>
    </row>
    <row r="20" spans="14:18" ht="12.75">
      <c r="N20" s="22" t="s">
        <v>761</v>
      </c>
      <c r="O20" s="22"/>
      <c r="P20" s="56">
        <f>N17-P17</f>
        <v>0</v>
      </c>
      <c r="R20" s="52"/>
    </row>
    <row r="21" spans="14:18" ht="12.75">
      <c r="N21" s="22" t="s">
        <v>436</v>
      </c>
      <c r="O21" s="22"/>
      <c r="P21" s="56">
        <f>P17-Q17</f>
        <v>0</v>
      </c>
      <c r="R21" s="52"/>
    </row>
    <row r="22" spans="1:18" ht="12.75">
      <c r="A22" t="s">
        <v>78</v>
      </c>
      <c r="R22" s="52"/>
    </row>
    <row r="23" spans="1:18" ht="12.75">
      <c r="A23" t="s">
        <v>776</v>
      </c>
      <c r="R23" s="52"/>
    </row>
    <row r="24" spans="1:21" ht="12.75">
      <c r="A24" t="s">
        <v>644</v>
      </c>
      <c r="R24" s="52"/>
      <c r="U24" t="s">
        <v>683</v>
      </c>
    </row>
    <row r="25" spans="1:19" s="22" customFormat="1" ht="12.75">
      <c r="A25" s="41" t="s">
        <v>608</v>
      </c>
      <c r="B25" s="42">
        <v>38.9053</v>
      </c>
      <c r="C25" s="43">
        <v>4689</v>
      </c>
      <c r="D25" s="43">
        <v>7748</v>
      </c>
      <c r="E25" s="43">
        <v>7400</v>
      </c>
      <c r="F25" s="43">
        <v>9971</v>
      </c>
      <c r="G25" s="43">
        <v>14265</v>
      </c>
      <c r="H25" s="43">
        <v>20631</v>
      </c>
      <c r="I25" s="43">
        <v>29877</v>
      </c>
      <c r="J25" s="43">
        <v>28326</v>
      </c>
      <c r="K25" s="43">
        <v>33785</v>
      </c>
      <c r="L25" s="43"/>
      <c r="M25" s="44"/>
      <c r="N25" s="31"/>
      <c r="O25" s="43"/>
      <c r="P25" s="43"/>
      <c r="Q25" s="43"/>
      <c r="R25" s="101"/>
      <c r="S25" s="43"/>
    </row>
    <row r="26" ht="12.75">
      <c r="R26" s="52"/>
    </row>
    <row r="27" ht="12.75">
      <c r="R27" s="52"/>
    </row>
    <row r="28" spans="1:18" ht="12.75">
      <c r="A28" s="6"/>
      <c r="R28" s="52"/>
    </row>
    <row r="29" ht="12.75">
      <c r="R29" s="52"/>
    </row>
    <row r="30" spans="14:18" ht="12.75">
      <c r="N30" s="11"/>
      <c r="R30" s="52"/>
    </row>
    <row r="31" spans="14:18" ht="12.75">
      <c r="N31" s="11"/>
      <c r="O31" s="5"/>
      <c r="R31" s="52"/>
    </row>
    <row r="32" spans="14:18" ht="12.75">
      <c r="N32" s="11"/>
      <c r="R32" s="52"/>
    </row>
    <row r="33" ht="12.75">
      <c r="R33" s="52"/>
    </row>
    <row r="34" spans="14:18" ht="12.75">
      <c r="N34" s="5"/>
      <c r="O34" s="5"/>
      <c r="R34" s="52"/>
    </row>
    <row r="35" ht="12.75">
      <c r="R35" s="52"/>
    </row>
    <row r="36" ht="12.75">
      <c r="R36" s="52"/>
    </row>
    <row r="37" ht="12.75">
      <c r="R37" s="52"/>
    </row>
    <row r="38" ht="12.75">
      <c r="R38" s="52"/>
    </row>
    <row r="39" ht="12.75">
      <c r="R39" s="52"/>
    </row>
    <row r="40" ht="12.75">
      <c r="R40" s="52"/>
    </row>
    <row r="41" ht="12.75">
      <c r="R41" s="52"/>
    </row>
    <row r="42" ht="12.75">
      <c r="R42" s="52"/>
    </row>
    <row r="43" ht="12.75">
      <c r="R43" s="52"/>
    </row>
    <row r="44" ht="12.75">
      <c r="R44" s="52"/>
    </row>
    <row r="45" ht="12.75">
      <c r="R45" s="52"/>
    </row>
    <row r="46" ht="12.75">
      <c r="R46" s="52"/>
    </row>
    <row r="47" ht="12.75">
      <c r="R47" s="52"/>
    </row>
    <row r="48" ht="12.75">
      <c r="R48" s="52"/>
    </row>
    <row r="49" ht="12.75">
      <c r="R49" s="52"/>
    </row>
    <row r="50" ht="12.75">
      <c r="R50" s="52"/>
    </row>
    <row r="51" ht="12.75">
      <c r="R51" s="52"/>
    </row>
    <row r="52" ht="12.75">
      <c r="R52" s="52"/>
    </row>
    <row r="53" ht="12.75">
      <c r="R53" s="52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8" ht="12.75">
      <c r="R78" s="2"/>
    </row>
    <row r="79" ht="12.75">
      <c r="R79" s="2"/>
    </row>
    <row r="80" ht="12.75">
      <c r="R80" s="2"/>
    </row>
    <row r="81" ht="12.75">
      <c r="R81" s="2"/>
    </row>
    <row r="82" ht="12.75">
      <c r="R82" s="2"/>
    </row>
    <row r="83" ht="12.75">
      <c r="R83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U117"/>
  <sheetViews>
    <sheetView zoomScale="75" zoomScaleNormal="75" workbookViewId="0" topLeftCell="A1">
      <selection activeCell="T24" sqref="T24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9" width="9.140625" style="0" hidden="1" customWidth="1"/>
    <col min="10" max="10" width="10.00390625" style="0" bestFit="1" customWidth="1"/>
    <col min="11" max="11" width="10.00390625" style="0" customWidth="1"/>
    <col min="12" max="12" width="10.421875" style="0" bestFit="1" customWidth="1"/>
    <col min="13" max="13" width="10.00390625" style="0" bestFit="1" customWidth="1"/>
    <col min="14" max="14" width="10.421875" style="0" bestFit="1" customWidth="1"/>
    <col min="15" max="16" width="11.7109375" style="0" customWidth="1"/>
    <col min="17" max="18" width="10.8515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466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19" ht="12.75">
      <c r="A7" t="s">
        <v>773</v>
      </c>
      <c r="B7" s="4">
        <v>51.11</v>
      </c>
      <c r="C7" s="2">
        <v>381497</v>
      </c>
      <c r="D7" s="2">
        <v>427143</v>
      </c>
      <c r="E7" s="2">
        <v>459879</v>
      </c>
      <c r="F7" s="2">
        <v>462939</v>
      </c>
      <c r="G7" s="2">
        <v>462122</v>
      </c>
      <c r="H7" s="2">
        <v>483878</v>
      </c>
      <c r="I7" s="2">
        <v>500385</v>
      </c>
      <c r="J7" s="2">
        <v>705115</v>
      </c>
      <c r="K7" s="2">
        <v>689673</v>
      </c>
      <c r="L7" s="2">
        <v>736459.92</v>
      </c>
      <c r="M7" s="2">
        <v>664353</v>
      </c>
      <c r="N7" s="2">
        <f aca="true" t="shared" si="0" ref="N7:N41">+M7/$M$3*12</f>
        <v>797223.6000000001</v>
      </c>
      <c r="O7" s="2">
        <v>773618.6475</v>
      </c>
      <c r="P7" s="2">
        <v>723714</v>
      </c>
      <c r="Q7" s="2">
        <v>723713.98</v>
      </c>
      <c r="R7" s="2">
        <v>723713.98</v>
      </c>
      <c r="S7" s="92">
        <f aca="true" t="shared" si="1" ref="S7:S56">(R7-O7)/O7</f>
        <v>-0.06450809796437848</v>
      </c>
    </row>
    <row r="8" spans="1:20" ht="12.75">
      <c r="A8" t="s">
        <v>772</v>
      </c>
      <c r="B8" s="4"/>
      <c r="C8" s="2"/>
      <c r="D8" s="2"/>
      <c r="E8" s="2"/>
      <c r="F8" s="2"/>
      <c r="G8" s="2"/>
      <c r="H8" s="2"/>
      <c r="I8" s="2"/>
      <c r="J8" s="2"/>
      <c r="K8" s="2">
        <v>83878</v>
      </c>
      <c r="L8" s="2">
        <v>140332</v>
      </c>
      <c r="M8" s="2">
        <v>82891</v>
      </c>
      <c r="N8" s="2">
        <f t="shared" si="0"/>
        <v>99469.20000000001</v>
      </c>
      <c r="O8" s="2">
        <v>130000</v>
      </c>
      <c r="P8" s="2">
        <v>135000</v>
      </c>
      <c r="Q8" s="2">
        <v>135000</v>
      </c>
      <c r="R8" s="2">
        <v>135000</v>
      </c>
      <c r="S8" s="92"/>
      <c r="T8" t="s">
        <v>376</v>
      </c>
    </row>
    <row r="9" spans="1:19" ht="12.75">
      <c r="A9" t="s">
        <v>744</v>
      </c>
      <c r="B9" s="4">
        <v>51.1136</v>
      </c>
      <c r="C9" s="2"/>
      <c r="D9" s="2"/>
      <c r="E9" s="2"/>
      <c r="F9" s="2"/>
      <c r="G9" s="2"/>
      <c r="H9" s="2"/>
      <c r="I9" s="2"/>
      <c r="J9" s="2">
        <v>21046</v>
      </c>
      <c r="K9" s="2">
        <v>12599</v>
      </c>
      <c r="L9" s="2">
        <v>12615</v>
      </c>
      <c r="M9" s="2">
        <v>0</v>
      </c>
      <c r="N9" s="2">
        <v>21000</v>
      </c>
      <c r="O9" s="2">
        <v>21000</v>
      </c>
      <c r="P9" s="2">
        <v>22746</v>
      </c>
      <c r="Q9" s="18">
        <v>22746.3</v>
      </c>
      <c r="R9" s="18">
        <v>22746.3</v>
      </c>
      <c r="S9" s="92">
        <f t="shared" si="1"/>
        <v>0.08315714285714282</v>
      </c>
    </row>
    <row r="10" spans="1:20" ht="12.75">
      <c r="A10" t="s">
        <v>152</v>
      </c>
      <c r="B10" s="4">
        <v>51.13</v>
      </c>
      <c r="C10" s="2">
        <v>200151</v>
      </c>
      <c r="D10" s="2">
        <v>208287</v>
      </c>
      <c r="E10" s="2">
        <v>226368</v>
      </c>
      <c r="F10" s="2">
        <v>225762</v>
      </c>
      <c r="G10" s="2">
        <v>214599</v>
      </c>
      <c r="H10" s="2">
        <v>185404</v>
      </c>
      <c r="I10" s="2">
        <v>177209</v>
      </c>
      <c r="J10" s="2">
        <v>260593</v>
      </c>
      <c r="K10" s="2">
        <v>288803</v>
      </c>
      <c r="L10" s="2">
        <v>324994</v>
      </c>
      <c r="M10" s="2">
        <v>276540</v>
      </c>
      <c r="N10" s="2">
        <f t="shared" si="0"/>
        <v>331848</v>
      </c>
      <c r="O10" s="20">
        <v>270000</v>
      </c>
      <c r="P10" s="20">
        <v>300000</v>
      </c>
      <c r="Q10" s="20">
        <v>300000</v>
      </c>
      <c r="R10" s="20">
        <v>300000</v>
      </c>
      <c r="S10" s="92">
        <f t="shared" si="1"/>
        <v>0.1111111111111111</v>
      </c>
      <c r="T10" s="20"/>
    </row>
    <row r="11" spans="1:20" ht="12.75">
      <c r="A11" t="s">
        <v>494</v>
      </c>
      <c r="B11" s="4">
        <v>51.21</v>
      </c>
      <c r="C11" s="2">
        <v>35545</v>
      </c>
      <c r="D11" s="2">
        <v>42775</v>
      </c>
      <c r="E11" s="2">
        <v>50240</v>
      </c>
      <c r="F11" s="2">
        <v>43804</v>
      </c>
      <c r="G11" s="2">
        <v>43351</v>
      </c>
      <c r="H11" s="2">
        <v>48691</v>
      </c>
      <c r="I11" s="2">
        <v>47813</v>
      </c>
      <c r="J11" s="2">
        <v>67597</v>
      </c>
      <c r="K11" s="2">
        <v>80244</v>
      </c>
      <c r="L11" s="2">
        <f>90650+360</f>
        <v>91010</v>
      </c>
      <c r="M11" s="2">
        <v>81087</v>
      </c>
      <c r="N11" s="2">
        <f t="shared" si="0"/>
        <v>97304.4</v>
      </c>
      <c r="O11" s="2">
        <v>105600</v>
      </c>
      <c r="P11" s="2">
        <v>105780</v>
      </c>
      <c r="Q11" s="31">
        <f>21.5*4920</f>
        <v>105780</v>
      </c>
      <c r="R11" s="31">
        <f>21.5*4920</f>
        <v>105780</v>
      </c>
      <c r="S11" s="92">
        <f t="shared" si="1"/>
        <v>0.0017045454545454545</v>
      </c>
      <c r="T11" t="s">
        <v>825</v>
      </c>
    </row>
    <row r="12" spans="1:19" ht="12.75">
      <c r="A12" t="s">
        <v>139</v>
      </c>
      <c r="B12" s="4">
        <v>51.22</v>
      </c>
      <c r="C12" s="2">
        <v>42811</v>
      </c>
      <c r="D12" s="2">
        <v>46250</v>
      </c>
      <c r="E12" s="2">
        <v>49933</v>
      </c>
      <c r="F12" s="2">
        <v>52867</v>
      </c>
      <c r="G12" s="2">
        <v>49366</v>
      </c>
      <c r="H12" s="2">
        <v>48294</v>
      </c>
      <c r="I12" s="2">
        <v>48274</v>
      </c>
      <c r="J12" s="2">
        <v>71567</v>
      </c>
      <c r="K12" s="2">
        <v>77971</v>
      </c>
      <c r="L12" s="2">
        <v>89080.28</v>
      </c>
      <c r="M12" s="2">
        <v>54194</v>
      </c>
      <c r="N12" s="2">
        <f t="shared" si="0"/>
        <v>65032.799999999996</v>
      </c>
      <c r="O12" s="2">
        <v>91388.32653374999</v>
      </c>
      <c r="P12" s="2">
        <f>(P7+P8+P9+P10)*0.0765</f>
        <v>90381.69</v>
      </c>
      <c r="Q12" s="2">
        <f>(Q7+Q8+Q9+Q10)*0.0765</f>
        <v>90381.71142</v>
      </c>
      <c r="R12" s="2">
        <f>(R7+R8+R9+R10)*0.0765</f>
        <v>90381.71142</v>
      </c>
      <c r="S12" s="92">
        <f t="shared" si="1"/>
        <v>-0.011014701241719726</v>
      </c>
    </row>
    <row r="13" spans="1:19" ht="12.75">
      <c r="A13" t="s">
        <v>153</v>
      </c>
      <c r="B13" s="4">
        <v>51.24</v>
      </c>
      <c r="C13" s="2">
        <v>8189</v>
      </c>
      <c r="D13" s="2">
        <v>9511</v>
      </c>
      <c r="E13" s="2">
        <v>9463</v>
      </c>
      <c r="F13" s="2">
        <v>8738</v>
      </c>
      <c r="G13" s="2">
        <v>7878</v>
      </c>
      <c r="H13" s="2">
        <v>9108</v>
      </c>
      <c r="I13" s="2">
        <v>9491</v>
      </c>
      <c r="J13" s="2">
        <v>11082</v>
      </c>
      <c r="K13" s="2">
        <v>11697</v>
      </c>
      <c r="L13" s="2">
        <v>12293</v>
      </c>
      <c r="M13" s="2">
        <v>4431</v>
      </c>
      <c r="N13" s="2">
        <v>4431</v>
      </c>
      <c r="O13" s="2">
        <v>13000</v>
      </c>
      <c r="P13" s="2">
        <v>13700</v>
      </c>
      <c r="Q13" s="2">
        <v>13700</v>
      </c>
      <c r="R13" s="2">
        <v>13700</v>
      </c>
      <c r="S13" s="92">
        <f t="shared" si="1"/>
        <v>0.05384615384615385</v>
      </c>
    </row>
    <row r="14" spans="2:19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2"/>
    </row>
    <row r="15" spans="1:20" ht="12.75">
      <c r="A15" t="s">
        <v>374</v>
      </c>
      <c r="B15" s="4">
        <v>52.2202</v>
      </c>
      <c r="C15" s="2"/>
      <c r="D15" s="2"/>
      <c r="E15" s="2"/>
      <c r="F15" s="2">
        <v>385</v>
      </c>
      <c r="G15" s="2">
        <v>691</v>
      </c>
      <c r="H15" s="2">
        <v>684</v>
      </c>
      <c r="I15" s="2">
        <v>744</v>
      </c>
      <c r="J15" s="2">
        <v>235</v>
      </c>
      <c r="K15" s="2">
        <v>400</v>
      </c>
      <c r="L15" s="2">
        <v>1131</v>
      </c>
      <c r="M15" s="2">
        <v>483</v>
      </c>
      <c r="N15" s="2">
        <v>500</v>
      </c>
      <c r="O15" s="2">
        <v>500</v>
      </c>
      <c r="P15" s="2">
        <v>560</v>
      </c>
      <c r="Q15" s="2">
        <v>500</v>
      </c>
      <c r="R15" s="2">
        <v>500</v>
      </c>
      <c r="S15" s="92">
        <f t="shared" si="1"/>
        <v>0</v>
      </c>
      <c r="T15" s="2"/>
    </row>
    <row r="16" spans="1:19" ht="12.75">
      <c r="A16" t="s">
        <v>245</v>
      </c>
      <c r="B16" s="4">
        <v>52.2203</v>
      </c>
      <c r="C16" s="2">
        <v>7963</v>
      </c>
      <c r="D16" s="2">
        <v>7635</v>
      </c>
      <c r="E16" s="2">
        <v>6738</v>
      </c>
      <c r="F16" s="2">
        <v>7488</v>
      </c>
      <c r="G16" s="2">
        <v>7391</v>
      </c>
      <c r="H16" s="2">
        <v>6132</v>
      </c>
      <c r="I16" s="2">
        <v>6132</v>
      </c>
      <c r="J16" s="2">
        <v>5112</v>
      </c>
      <c r="K16" s="2">
        <v>6144</v>
      </c>
      <c r="L16" s="2">
        <v>6144</v>
      </c>
      <c r="M16" s="2">
        <v>5120</v>
      </c>
      <c r="N16" s="2">
        <f t="shared" si="0"/>
        <v>6144</v>
      </c>
      <c r="O16" s="2">
        <v>6500</v>
      </c>
      <c r="P16" s="2">
        <v>6200</v>
      </c>
      <c r="Q16" s="2">
        <v>6200</v>
      </c>
      <c r="R16" s="2">
        <v>6200</v>
      </c>
      <c r="S16" s="92">
        <f t="shared" si="1"/>
        <v>-0.046153846153846156</v>
      </c>
    </row>
    <row r="17" spans="1:19" ht="12.75">
      <c r="A17" t="s">
        <v>185</v>
      </c>
      <c r="B17" s="4">
        <v>52.2206</v>
      </c>
      <c r="C17" s="2">
        <v>2117</v>
      </c>
      <c r="D17" s="2">
        <v>4215</v>
      </c>
      <c r="E17" s="2">
        <v>1805</v>
      </c>
      <c r="F17" s="2">
        <v>1027</v>
      </c>
      <c r="G17" s="2">
        <v>325</v>
      </c>
      <c r="H17" s="2">
        <v>486</v>
      </c>
      <c r="I17" s="2">
        <v>225</v>
      </c>
      <c r="J17" s="2"/>
      <c r="K17" s="2">
        <v>741</v>
      </c>
      <c r="L17" s="2">
        <v>680</v>
      </c>
      <c r="M17" s="2">
        <v>280.7</v>
      </c>
      <c r="N17" s="2">
        <f t="shared" si="0"/>
        <v>336.84000000000003</v>
      </c>
      <c r="O17" s="2">
        <v>300</v>
      </c>
      <c r="P17" s="2">
        <v>500</v>
      </c>
      <c r="Q17" s="2">
        <v>500</v>
      </c>
      <c r="R17" s="2">
        <v>500</v>
      </c>
      <c r="S17" s="92">
        <f t="shared" si="1"/>
        <v>0.6666666666666666</v>
      </c>
    </row>
    <row r="18" spans="1:19" ht="12.75">
      <c r="A18" t="s">
        <v>845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>
        <v>1800</v>
      </c>
      <c r="M18" s="2"/>
      <c r="N18" s="2"/>
      <c r="O18" s="2">
        <v>1000</v>
      </c>
      <c r="P18" s="2"/>
      <c r="Q18" s="2"/>
      <c r="R18" s="2"/>
      <c r="S18" s="92"/>
    </row>
    <row r="19" spans="1:19" ht="12.75">
      <c r="A19" t="s">
        <v>246</v>
      </c>
      <c r="B19" s="4">
        <v>52.2209</v>
      </c>
      <c r="C19" s="5"/>
      <c r="D19" s="5"/>
      <c r="E19" s="2">
        <v>1000</v>
      </c>
      <c r="F19" s="2"/>
      <c r="G19" s="2">
        <v>1325</v>
      </c>
      <c r="H19" s="2">
        <v>1200</v>
      </c>
      <c r="I19" s="2">
        <v>1200</v>
      </c>
      <c r="J19" s="2">
        <v>1200</v>
      </c>
      <c r="K19" s="2">
        <v>1200</v>
      </c>
      <c r="L19" s="2"/>
      <c r="M19" s="2">
        <v>3450</v>
      </c>
      <c r="N19" s="2">
        <v>3450</v>
      </c>
      <c r="O19" s="2">
        <v>1200</v>
      </c>
      <c r="P19" s="2">
        <v>3450</v>
      </c>
      <c r="Q19" s="2">
        <v>3450</v>
      </c>
      <c r="R19" s="2">
        <v>3450</v>
      </c>
      <c r="S19" s="92">
        <f t="shared" si="1"/>
        <v>1.875</v>
      </c>
    </row>
    <row r="20" spans="1:19" ht="12.75">
      <c r="A20" t="s">
        <v>614</v>
      </c>
      <c r="B20" s="4">
        <v>52.2213</v>
      </c>
      <c r="C20" s="5"/>
      <c r="D20" s="5"/>
      <c r="E20" s="5"/>
      <c r="F20" s="5"/>
      <c r="G20" s="2">
        <v>320</v>
      </c>
      <c r="H20" s="2">
        <v>325</v>
      </c>
      <c r="I20" s="2">
        <v>425</v>
      </c>
      <c r="J20" s="2"/>
      <c r="K20" s="2"/>
      <c r="L20" s="2"/>
      <c r="M20" s="2"/>
      <c r="N20" s="2">
        <v>500</v>
      </c>
      <c r="O20" s="2">
        <v>500</v>
      </c>
      <c r="P20" s="2">
        <v>500</v>
      </c>
      <c r="Q20" s="2">
        <v>500</v>
      </c>
      <c r="R20" s="2">
        <v>500</v>
      </c>
      <c r="S20" s="92">
        <f t="shared" si="1"/>
        <v>0</v>
      </c>
    </row>
    <row r="21" spans="1:19" ht="12.75">
      <c r="A21" t="s">
        <v>861</v>
      </c>
      <c r="B21" s="4">
        <v>52.2216</v>
      </c>
      <c r="C21" s="5"/>
      <c r="D21" s="5"/>
      <c r="E21" s="5"/>
      <c r="F21" s="5"/>
      <c r="G21" s="2"/>
      <c r="H21" s="2"/>
      <c r="I21" s="2"/>
      <c r="J21" s="2"/>
      <c r="K21" s="2">
        <v>4020</v>
      </c>
      <c r="L21" s="2"/>
      <c r="M21" s="2"/>
      <c r="N21" s="2"/>
      <c r="O21" s="2">
        <v>4020</v>
      </c>
      <c r="P21" s="2">
        <v>4200</v>
      </c>
      <c r="Q21" s="2">
        <v>4200</v>
      </c>
      <c r="R21" s="2">
        <v>4200</v>
      </c>
      <c r="S21" s="92"/>
    </row>
    <row r="22" spans="1:19" ht="12.75">
      <c r="A22" t="s">
        <v>141</v>
      </c>
      <c r="B22" s="4">
        <v>52.32</v>
      </c>
      <c r="C22" s="2">
        <v>4119</v>
      </c>
      <c r="D22" s="2">
        <v>3588</v>
      </c>
      <c r="E22" s="2">
        <v>3658</v>
      </c>
      <c r="F22" s="2">
        <v>4571</v>
      </c>
      <c r="G22" s="2">
        <v>4603</v>
      </c>
      <c r="H22" s="2">
        <v>3932</v>
      </c>
      <c r="I22" s="2">
        <v>6313</v>
      </c>
      <c r="J22" s="2">
        <v>4807</v>
      </c>
      <c r="K22" s="2">
        <v>4753</v>
      </c>
      <c r="L22" s="2">
        <v>5879</v>
      </c>
      <c r="M22" s="2">
        <v>5023</v>
      </c>
      <c r="N22" s="2">
        <f t="shared" si="0"/>
        <v>6027.6</v>
      </c>
      <c r="O22" s="2">
        <v>4500</v>
      </c>
      <c r="P22" s="2">
        <v>4500</v>
      </c>
      <c r="Q22" s="2">
        <v>4500</v>
      </c>
      <c r="R22" s="2">
        <v>4500</v>
      </c>
      <c r="S22" s="92">
        <f t="shared" si="1"/>
        <v>0</v>
      </c>
    </row>
    <row r="23" spans="1:19" ht="12.75">
      <c r="A23" t="s">
        <v>142</v>
      </c>
      <c r="B23" s="4">
        <v>52.321</v>
      </c>
      <c r="C23" s="2">
        <v>1942</v>
      </c>
      <c r="D23" s="2">
        <v>2097</v>
      </c>
      <c r="E23" s="2">
        <v>1792</v>
      </c>
      <c r="F23" s="2">
        <v>1506</v>
      </c>
      <c r="G23" s="2">
        <v>1873</v>
      </c>
      <c r="H23" s="2">
        <v>2049</v>
      </c>
      <c r="I23" s="2">
        <v>1794</v>
      </c>
      <c r="J23" s="2">
        <v>1063</v>
      </c>
      <c r="K23" s="2">
        <v>1944</v>
      </c>
      <c r="L23" s="2">
        <v>681</v>
      </c>
      <c r="M23" s="2">
        <v>944</v>
      </c>
      <c r="N23" s="2">
        <f t="shared" si="0"/>
        <v>1132.8000000000002</v>
      </c>
      <c r="O23" s="2">
        <v>1500</v>
      </c>
      <c r="P23" s="2">
        <v>1650</v>
      </c>
      <c r="Q23" s="2">
        <v>1650</v>
      </c>
      <c r="R23" s="2">
        <v>1650</v>
      </c>
      <c r="S23" s="92">
        <f t="shared" si="1"/>
        <v>0.1</v>
      </c>
    </row>
    <row r="24" spans="1:19" ht="12.75">
      <c r="A24" t="s">
        <v>154</v>
      </c>
      <c r="B24" s="4">
        <v>52.35</v>
      </c>
      <c r="C24" s="2">
        <v>3653</v>
      </c>
      <c r="D24" s="2">
        <v>3892</v>
      </c>
      <c r="E24" s="2">
        <v>3225</v>
      </c>
      <c r="F24" s="2">
        <v>1049</v>
      </c>
      <c r="G24" s="2">
        <v>2455</v>
      </c>
      <c r="H24" s="2">
        <v>2768</v>
      </c>
      <c r="I24" s="2">
        <f>3697+141</f>
        <v>3838</v>
      </c>
      <c r="J24" s="2">
        <v>2137</v>
      </c>
      <c r="K24" s="2">
        <v>2550</v>
      </c>
      <c r="L24" s="2">
        <v>2432</v>
      </c>
      <c r="M24" s="2">
        <v>1328</v>
      </c>
      <c r="N24" s="2">
        <v>2500</v>
      </c>
      <c r="O24" s="2">
        <v>2800</v>
      </c>
      <c r="P24" s="2">
        <v>2800</v>
      </c>
      <c r="Q24" s="2">
        <v>2800</v>
      </c>
      <c r="R24" s="2">
        <v>2800</v>
      </c>
      <c r="S24" s="92">
        <f t="shared" si="1"/>
        <v>0</v>
      </c>
    </row>
    <row r="25" spans="1:19" ht="12.75">
      <c r="A25" t="s">
        <v>144</v>
      </c>
      <c r="B25" s="4">
        <v>52.3602</v>
      </c>
      <c r="C25" s="2">
        <v>5550</v>
      </c>
      <c r="D25" s="2">
        <v>6635</v>
      </c>
      <c r="E25" s="2">
        <v>135</v>
      </c>
      <c r="F25" s="2">
        <v>8095</v>
      </c>
      <c r="G25" s="2">
        <v>90</v>
      </c>
      <c r="H25" s="2">
        <v>1200</v>
      </c>
      <c r="I25" s="2">
        <v>880</v>
      </c>
      <c r="J25" s="2">
        <v>1630</v>
      </c>
      <c r="K25" s="2">
        <v>859</v>
      </c>
      <c r="L25" s="2">
        <v>1605</v>
      </c>
      <c r="M25" s="2">
        <v>857</v>
      </c>
      <c r="N25" s="2">
        <v>1600</v>
      </c>
      <c r="O25" s="2">
        <v>2000</v>
      </c>
      <c r="P25" s="2">
        <v>2000</v>
      </c>
      <c r="Q25" s="2">
        <v>1600</v>
      </c>
      <c r="R25" s="2">
        <v>1600</v>
      </c>
      <c r="S25" s="92">
        <f t="shared" si="1"/>
        <v>-0.2</v>
      </c>
    </row>
    <row r="26" spans="1:19" ht="12.75">
      <c r="A26" t="s">
        <v>155</v>
      </c>
      <c r="B26" s="4">
        <v>52.37</v>
      </c>
      <c r="C26" s="2"/>
      <c r="D26" s="2"/>
      <c r="E26" s="2">
        <v>960</v>
      </c>
      <c r="F26" s="2">
        <v>2711</v>
      </c>
      <c r="G26" s="2">
        <v>2550</v>
      </c>
      <c r="H26" s="2">
        <v>2791</v>
      </c>
      <c r="I26" s="2"/>
      <c r="J26" s="2">
        <v>325</v>
      </c>
      <c r="K26" s="2">
        <v>3018</v>
      </c>
      <c r="L26" s="2">
        <v>2880</v>
      </c>
      <c r="M26" s="2">
        <v>2500</v>
      </c>
      <c r="N26" s="2">
        <v>3000</v>
      </c>
      <c r="O26" s="2">
        <v>3000</v>
      </c>
      <c r="P26" s="2">
        <v>3000</v>
      </c>
      <c r="Q26" s="2">
        <v>3000</v>
      </c>
      <c r="R26" s="2">
        <v>3000</v>
      </c>
      <c r="S26" s="92"/>
    </row>
    <row r="27" spans="1:19" ht="12.75">
      <c r="A27" t="s">
        <v>372</v>
      </c>
      <c r="B27" s="4">
        <v>52.38</v>
      </c>
      <c r="C27" s="2"/>
      <c r="D27" s="2"/>
      <c r="E27" s="2">
        <v>7850</v>
      </c>
      <c r="F27" s="2"/>
      <c r="G27" s="2">
        <v>8100</v>
      </c>
      <c r="H27" s="2">
        <v>8100</v>
      </c>
      <c r="I27" s="2">
        <v>8100</v>
      </c>
      <c r="J27" s="2">
        <v>8100</v>
      </c>
      <c r="K27" s="2">
        <v>8100</v>
      </c>
      <c r="L27" s="2">
        <v>8100</v>
      </c>
      <c r="M27" s="2">
        <v>9500</v>
      </c>
      <c r="N27" s="2">
        <v>8100</v>
      </c>
      <c r="O27" s="2">
        <v>8100</v>
      </c>
      <c r="P27" s="2">
        <v>9500</v>
      </c>
      <c r="Q27" s="2">
        <v>9500</v>
      </c>
      <c r="R27" s="2">
        <v>9500</v>
      </c>
      <c r="S27" s="92">
        <f t="shared" si="1"/>
        <v>0.1728395061728395</v>
      </c>
    </row>
    <row r="28" spans="14:19" ht="12.75">
      <c r="N28" s="2"/>
      <c r="S28" s="92"/>
    </row>
    <row r="29" spans="1:20" ht="12.75">
      <c r="A29" t="s">
        <v>148</v>
      </c>
      <c r="B29" s="4">
        <v>53.12</v>
      </c>
      <c r="K29" s="2">
        <v>456</v>
      </c>
      <c r="L29" s="2">
        <v>2176</v>
      </c>
      <c r="M29" s="2">
        <v>1836</v>
      </c>
      <c r="N29" s="2">
        <f t="shared" si="0"/>
        <v>2203.2</v>
      </c>
      <c r="O29">
        <v>1500</v>
      </c>
      <c r="P29" s="2">
        <v>2700</v>
      </c>
      <c r="Q29" s="2">
        <v>2300</v>
      </c>
      <c r="R29" s="2">
        <v>2300</v>
      </c>
      <c r="S29" s="92"/>
      <c r="T29" t="s">
        <v>376</v>
      </c>
    </row>
    <row r="30" spans="1:19" ht="12.75">
      <c r="A30" t="s">
        <v>200</v>
      </c>
      <c r="B30" s="4">
        <v>53.1702</v>
      </c>
      <c r="C30">
        <v>16</v>
      </c>
      <c r="D30">
        <v>430</v>
      </c>
      <c r="E30" s="2">
        <v>1259</v>
      </c>
      <c r="F30" s="2">
        <v>781</v>
      </c>
      <c r="G30" s="2">
        <v>391</v>
      </c>
      <c r="H30" s="2">
        <v>555</v>
      </c>
      <c r="I30" s="2">
        <f>431+253</f>
        <v>684</v>
      </c>
      <c r="J30" s="2">
        <v>706</v>
      </c>
      <c r="K30" s="2">
        <v>766</v>
      </c>
      <c r="L30" s="2">
        <v>658</v>
      </c>
      <c r="M30" s="2">
        <v>397</v>
      </c>
      <c r="N30" s="2">
        <f t="shared" si="0"/>
        <v>476.40000000000003</v>
      </c>
      <c r="O30" s="2">
        <v>750</v>
      </c>
      <c r="P30" s="2">
        <v>600</v>
      </c>
      <c r="Q30" s="2">
        <v>600</v>
      </c>
      <c r="R30" s="2">
        <v>600</v>
      </c>
      <c r="S30" s="92">
        <f t="shared" si="1"/>
        <v>-0.2</v>
      </c>
    </row>
    <row r="31" spans="1:19" ht="12.75">
      <c r="A31" t="s">
        <v>174</v>
      </c>
      <c r="B31" s="4">
        <v>53.1704</v>
      </c>
      <c r="C31" s="2">
        <v>560</v>
      </c>
      <c r="D31" s="2">
        <v>68</v>
      </c>
      <c r="E31" s="2">
        <v>409</v>
      </c>
      <c r="F31" s="2">
        <v>408</v>
      </c>
      <c r="G31" s="2">
        <v>199</v>
      </c>
      <c r="H31" s="2"/>
      <c r="I31" s="2">
        <v>102</v>
      </c>
      <c r="J31" s="2">
        <v>259</v>
      </c>
      <c r="K31" s="2">
        <v>30</v>
      </c>
      <c r="L31" s="2">
        <v>120</v>
      </c>
      <c r="M31" s="2">
        <v>12.34</v>
      </c>
      <c r="N31" s="2">
        <f t="shared" si="0"/>
        <v>14.808</v>
      </c>
      <c r="O31" s="2">
        <v>200</v>
      </c>
      <c r="P31" s="2">
        <v>200</v>
      </c>
      <c r="Q31" s="2">
        <v>200</v>
      </c>
      <c r="R31" s="2">
        <v>200</v>
      </c>
      <c r="S31" s="92">
        <f t="shared" si="1"/>
        <v>0</v>
      </c>
    </row>
    <row r="32" spans="1:20" ht="12.75">
      <c r="A32" t="s">
        <v>243</v>
      </c>
      <c r="B32" s="4">
        <v>53.1706</v>
      </c>
      <c r="C32" s="2">
        <v>20084</v>
      </c>
      <c r="D32" s="2">
        <v>18199</v>
      </c>
      <c r="E32" s="2">
        <v>18246</v>
      </c>
      <c r="F32" s="2">
        <v>16894</v>
      </c>
      <c r="G32" s="2">
        <v>17593</v>
      </c>
      <c r="H32" s="2">
        <v>19716</v>
      </c>
      <c r="I32" s="2">
        <f>16881+461</f>
        <v>17342</v>
      </c>
      <c r="J32" s="2">
        <v>23910</v>
      </c>
      <c r="K32" s="2">
        <f>22379+239</f>
        <v>22618</v>
      </c>
      <c r="L32" s="2">
        <f>24761+323</f>
        <v>25084</v>
      </c>
      <c r="M32" s="2">
        <v>20707</v>
      </c>
      <c r="N32" s="2">
        <f t="shared" si="0"/>
        <v>24848.399999999998</v>
      </c>
      <c r="O32" s="2">
        <v>25000</v>
      </c>
      <c r="P32" s="2">
        <v>25000</v>
      </c>
      <c r="Q32" s="2">
        <v>25000</v>
      </c>
      <c r="R32" s="2">
        <v>25000</v>
      </c>
      <c r="S32" s="92">
        <f t="shared" si="1"/>
        <v>0</v>
      </c>
      <c r="T32" s="10"/>
    </row>
    <row r="33" spans="1:19" ht="12.75">
      <c r="A33" t="s">
        <v>149</v>
      </c>
      <c r="B33" s="4">
        <v>53.171</v>
      </c>
      <c r="C33" s="2">
        <v>4252</v>
      </c>
      <c r="D33" s="2">
        <v>2371</v>
      </c>
      <c r="E33" s="2">
        <v>3954</v>
      </c>
      <c r="F33" s="2">
        <v>4250</v>
      </c>
      <c r="G33" s="2">
        <v>2707</v>
      </c>
      <c r="H33" s="2">
        <v>2825</v>
      </c>
      <c r="I33" s="2">
        <f>1967+308</f>
        <v>2275</v>
      </c>
      <c r="J33" s="2">
        <v>1855</v>
      </c>
      <c r="K33" s="2">
        <f>1617+666</f>
        <v>2283</v>
      </c>
      <c r="L33" s="2">
        <v>2482</v>
      </c>
      <c r="M33" s="2">
        <v>974</v>
      </c>
      <c r="N33" s="2">
        <f t="shared" si="0"/>
        <v>1168.8000000000002</v>
      </c>
      <c r="O33" s="2">
        <v>2000</v>
      </c>
      <c r="P33" s="2">
        <v>2000</v>
      </c>
      <c r="Q33" s="2">
        <v>2000</v>
      </c>
      <c r="R33" s="2">
        <v>2000</v>
      </c>
      <c r="S33" s="92">
        <f t="shared" si="1"/>
        <v>0</v>
      </c>
    </row>
    <row r="34" spans="1:19" ht="12.75">
      <c r="A34" t="s">
        <v>647</v>
      </c>
      <c r="B34" s="4">
        <v>53.1727</v>
      </c>
      <c r="C34" s="2"/>
      <c r="D34" s="2"/>
      <c r="E34" s="2"/>
      <c r="F34" s="2"/>
      <c r="G34" s="2"/>
      <c r="H34" s="2"/>
      <c r="I34" s="2"/>
      <c r="J34" s="2">
        <v>1103</v>
      </c>
      <c r="K34" s="2"/>
      <c r="L34" s="2"/>
      <c r="M34" s="2"/>
      <c r="N34" s="2"/>
      <c r="O34" s="2"/>
      <c r="P34" s="2"/>
      <c r="Q34" s="2"/>
      <c r="R34" s="2"/>
      <c r="S34" s="92"/>
    </row>
    <row r="35" spans="1:19" ht="12.75">
      <c r="A35" t="s">
        <v>228</v>
      </c>
      <c r="B35" s="4">
        <v>53.173</v>
      </c>
      <c r="C35" s="2">
        <v>5717</v>
      </c>
      <c r="D35" s="2">
        <v>6477</v>
      </c>
      <c r="E35" s="2">
        <v>5878</v>
      </c>
      <c r="F35" s="2">
        <v>6229</v>
      </c>
      <c r="G35" s="2">
        <v>5779</v>
      </c>
      <c r="H35" s="2">
        <v>5599</v>
      </c>
      <c r="I35" s="2">
        <v>4843</v>
      </c>
      <c r="J35" s="2">
        <v>6345</v>
      </c>
      <c r="K35" s="2">
        <f>7165+884</f>
        <v>8049</v>
      </c>
      <c r="L35" s="2">
        <v>7925</v>
      </c>
      <c r="M35" s="2">
        <v>6544</v>
      </c>
      <c r="N35" s="2">
        <v>8000</v>
      </c>
      <c r="O35" s="2">
        <v>8000</v>
      </c>
      <c r="P35" s="2">
        <v>8000</v>
      </c>
      <c r="Q35" s="2">
        <v>8000</v>
      </c>
      <c r="R35" s="2">
        <v>8000</v>
      </c>
      <c r="S35" s="92">
        <f t="shared" si="1"/>
        <v>0</v>
      </c>
    </row>
    <row r="36" spans="1:19" ht="12.75">
      <c r="A36" t="s">
        <v>188</v>
      </c>
      <c r="B36" s="4">
        <v>53.175</v>
      </c>
      <c r="C36" s="2">
        <v>7281</v>
      </c>
      <c r="D36" s="2">
        <v>8432</v>
      </c>
      <c r="E36" s="2">
        <v>6194</v>
      </c>
      <c r="F36" s="2">
        <v>9604</v>
      </c>
      <c r="G36" s="2">
        <v>6092</v>
      </c>
      <c r="H36" s="2">
        <v>5563</v>
      </c>
      <c r="I36" s="2">
        <v>8891</v>
      </c>
      <c r="J36" s="2">
        <v>4457</v>
      </c>
      <c r="K36" s="2">
        <v>6972</v>
      </c>
      <c r="L36" s="2">
        <v>9974</v>
      </c>
      <c r="M36" s="2">
        <v>5955</v>
      </c>
      <c r="N36" s="2">
        <f t="shared" si="0"/>
        <v>7146</v>
      </c>
      <c r="O36" s="2">
        <v>4500</v>
      </c>
      <c r="P36" s="2">
        <v>7000</v>
      </c>
      <c r="Q36" s="2">
        <v>7000</v>
      </c>
      <c r="R36" s="2">
        <v>7000</v>
      </c>
      <c r="S36" s="92">
        <f t="shared" si="1"/>
        <v>0.5555555555555556</v>
      </c>
    </row>
    <row r="37" spans="1:19" ht="12.75">
      <c r="A37" t="s">
        <v>177</v>
      </c>
      <c r="B37" s="4">
        <v>53.176</v>
      </c>
      <c r="C37" s="2">
        <v>511</v>
      </c>
      <c r="D37" s="2">
        <v>815</v>
      </c>
      <c r="E37" s="2">
        <v>827</v>
      </c>
      <c r="F37" s="2">
        <v>694</v>
      </c>
      <c r="G37" s="2">
        <v>615</v>
      </c>
      <c r="H37" s="2">
        <v>462</v>
      </c>
      <c r="I37" s="2">
        <v>380</v>
      </c>
      <c r="J37" s="2">
        <v>887</v>
      </c>
      <c r="K37" s="2">
        <v>704</v>
      </c>
      <c r="L37" s="2">
        <v>1018</v>
      </c>
      <c r="M37" s="2">
        <v>826</v>
      </c>
      <c r="N37" s="2">
        <f t="shared" si="0"/>
        <v>991.1999999999999</v>
      </c>
      <c r="O37" s="2">
        <v>875</v>
      </c>
      <c r="P37" s="2">
        <v>1100</v>
      </c>
      <c r="Q37" s="2">
        <v>1000</v>
      </c>
      <c r="R37" s="2">
        <v>1000</v>
      </c>
      <c r="S37" s="92">
        <f t="shared" si="1"/>
        <v>0.14285714285714285</v>
      </c>
    </row>
    <row r="38" spans="1:19" ht="12.75">
      <c r="A38" t="s">
        <v>178</v>
      </c>
      <c r="B38" s="4">
        <v>53.177</v>
      </c>
      <c r="C38" s="2">
        <v>1239</v>
      </c>
      <c r="D38" s="2">
        <v>1323</v>
      </c>
      <c r="E38" s="2">
        <v>1798</v>
      </c>
      <c r="F38" s="2">
        <v>1163</v>
      </c>
      <c r="G38" s="2">
        <v>893</v>
      </c>
      <c r="H38" s="2">
        <v>1303</v>
      </c>
      <c r="I38" s="2">
        <v>1531</v>
      </c>
      <c r="J38" s="2">
        <v>3311</v>
      </c>
      <c r="K38" s="2">
        <v>3842</v>
      </c>
      <c r="L38" s="2">
        <v>4152</v>
      </c>
      <c r="M38" s="2">
        <v>2548</v>
      </c>
      <c r="N38" s="2">
        <f t="shared" si="0"/>
        <v>3057.6000000000004</v>
      </c>
      <c r="O38" s="2">
        <v>1200</v>
      </c>
      <c r="P38" s="2">
        <v>2500</v>
      </c>
      <c r="Q38" s="2">
        <v>2500</v>
      </c>
      <c r="R38" s="2">
        <v>2500</v>
      </c>
      <c r="S38" s="92">
        <f t="shared" si="1"/>
        <v>1.0833333333333333</v>
      </c>
    </row>
    <row r="39" spans="1:19" ht="12.75">
      <c r="A39" t="s">
        <v>191</v>
      </c>
      <c r="B39" s="4">
        <v>53.178</v>
      </c>
      <c r="C39" s="2">
        <v>572</v>
      </c>
      <c r="D39" s="2">
        <v>623</v>
      </c>
      <c r="E39" s="2">
        <v>726</v>
      </c>
      <c r="F39" s="2">
        <v>479</v>
      </c>
      <c r="G39" s="2">
        <v>274</v>
      </c>
      <c r="H39" s="2">
        <v>420</v>
      </c>
      <c r="I39" s="2">
        <v>428</v>
      </c>
      <c r="J39" s="2">
        <v>427</v>
      </c>
      <c r="K39" s="2">
        <v>1194</v>
      </c>
      <c r="L39" s="2">
        <v>280</v>
      </c>
      <c r="M39" s="2">
        <v>294.69</v>
      </c>
      <c r="N39" s="2">
        <f t="shared" si="0"/>
        <v>353.62800000000004</v>
      </c>
      <c r="O39" s="2">
        <v>500</v>
      </c>
      <c r="P39" s="2">
        <v>600</v>
      </c>
      <c r="Q39" s="2">
        <v>500</v>
      </c>
      <c r="R39" s="2">
        <v>500</v>
      </c>
      <c r="S39" s="92">
        <f t="shared" si="1"/>
        <v>0</v>
      </c>
    </row>
    <row r="40" spans="1:19" ht="12.75">
      <c r="A40" t="s">
        <v>179</v>
      </c>
      <c r="B40" s="4">
        <v>53.179</v>
      </c>
      <c r="C40" s="2">
        <v>1174</v>
      </c>
      <c r="D40" s="2">
        <v>1009</v>
      </c>
      <c r="E40" s="2">
        <v>678</v>
      </c>
      <c r="F40" s="2">
        <v>4060</v>
      </c>
      <c r="G40" s="2">
        <v>848</v>
      </c>
      <c r="H40" s="2">
        <v>1175</v>
      </c>
      <c r="I40" s="2">
        <v>1593</v>
      </c>
      <c r="J40" s="2">
        <v>2273</v>
      </c>
      <c r="K40" s="2">
        <v>2586</v>
      </c>
      <c r="L40" s="2">
        <v>3648</v>
      </c>
      <c r="M40" s="2">
        <v>1470</v>
      </c>
      <c r="N40" s="2">
        <f t="shared" si="0"/>
        <v>1764</v>
      </c>
      <c r="O40" s="2">
        <v>3200</v>
      </c>
      <c r="P40" s="2">
        <v>3000</v>
      </c>
      <c r="Q40" s="2">
        <v>2500</v>
      </c>
      <c r="R40" s="2">
        <v>2500</v>
      </c>
      <c r="S40" s="92">
        <f t="shared" si="1"/>
        <v>-0.21875</v>
      </c>
    </row>
    <row r="41" spans="1:19" ht="12.75">
      <c r="A41" t="s">
        <v>242</v>
      </c>
      <c r="B41" s="4">
        <v>53.18</v>
      </c>
      <c r="C41" s="2">
        <v>3283</v>
      </c>
      <c r="D41" s="2">
        <v>5753</v>
      </c>
      <c r="E41" s="2">
        <v>6580</v>
      </c>
      <c r="F41" s="2">
        <v>4956</v>
      </c>
      <c r="G41" s="2">
        <v>6813</v>
      </c>
      <c r="H41" s="2">
        <v>8735</v>
      </c>
      <c r="I41" s="2">
        <v>14691</v>
      </c>
      <c r="J41" s="2">
        <v>20173</v>
      </c>
      <c r="K41" s="2">
        <v>21855</v>
      </c>
      <c r="L41" s="2">
        <v>37796</v>
      </c>
      <c r="M41" s="2">
        <v>17212</v>
      </c>
      <c r="N41" s="2">
        <f t="shared" si="0"/>
        <v>20654.4</v>
      </c>
      <c r="O41" s="2">
        <v>31000</v>
      </c>
      <c r="P41" s="2">
        <v>30000</v>
      </c>
      <c r="Q41" s="2">
        <v>25000</v>
      </c>
      <c r="R41" s="2">
        <v>25000</v>
      </c>
      <c r="S41" s="92">
        <f t="shared" si="1"/>
        <v>-0.1935483870967742</v>
      </c>
    </row>
    <row r="42" spans="1:19" ht="12.75">
      <c r="A42" t="s">
        <v>966</v>
      </c>
      <c r="B42" s="4"/>
      <c r="C42" s="2"/>
      <c r="D42" s="2"/>
      <c r="E42" s="2"/>
      <c r="F42" s="2"/>
      <c r="G42" s="2"/>
      <c r="H42" s="2"/>
      <c r="I42" s="2"/>
      <c r="J42" s="2"/>
      <c r="K42" s="2"/>
      <c r="L42" s="2">
        <v>292</v>
      </c>
      <c r="M42" s="2"/>
      <c r="N42" s="2"/>
      <c r="O42" s="2"/>
      <c r="P42" s="2"/>
      <c r="Q42" s="2"/>
      <c r="R42" s="2"/>
      <c r="S42" s="92"/>
    </row>
    <row r="43" spans="2:19" ht="12.75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92"/>
    </row>
    <row r="44" spans="1:21" ht="12.75">
      <c r="A44" t="s">
        <v>373</v>
      </c>
      <c r="B44" s="4">
        <v>54.22</v>
      </c>
      <c r="C44" s="2"/>
      <c r="D44" s="2"/>
      <c r="E44" s="2">
        <v>21907</v>
      </c>
      <c r="F44" s="2">
        <v>1800</v>
      </c>
      <c r="G44" s="2">
        <v>59732</v>
      </c>
      <c r="H44" s="2">
        <v>62046</v>
      </c>
      <c r="I44" s="2">
        <v>62304</v>
      </c>
      <c r="J44" s="2"/>
      <c r="K44" s="2">
        <v>1446</v>
      </c>
      <c r="L44" s="2">
        <f>108442+1299</f>
        <v>109741</v>
      </c>
      <c r="M44" s="2">
        <v>18659</v>
      </c>
      <c r="N44" s="2"/>
      <c r="O44" s="2">
        <v>52500</v>
      </c>
      <c r="P44" s="20">
        <v>200000</v>
      </c>
      <c r="Q44" s="20">
        <v>200000</v>
      </c>
      <c r="R44" s="20">
        <v>200000</v>
      </c>
      <c r="S44" s="92"/>
      <c r="T44" t="s">
        <v>514</v>
      </c>
      <c r="U44" s="6"/>
    </row>
    <row r="45" spans="1:19" ht="12.75">
      <c r="A45" t="s">
        <v>590</v>
      </c>
      <c r="B45" s="4"/>
      <c r="C45" s="2"/>
      <c r="D45" s="2"/>
      <c r="E45" s="2"/>
      <c r="F45" s="2"/>
      <c r="G45" s="2"/>
      <c r="H45" s="2"/>
      <c r="I45" s="2"/>
      <c r="J45" s="2"/>
      <c r="K45" s="2">
        <v>150</v>
      </c>
      <c r="L45" s="2"/>
      <c r="M45" s="2"/>
      <c r="N45" s="2"/>
      <c r="O45" s="2"/>
      <c r="P45" s="2"/>
      <c r="Q45" s="2"/>
      <c r="R45" s="2"/>
      <c r="S45" s="92"/>
    </row>
    <row r="46" spans="1:19" ht="12.75">
      <c r="A46" t="s">
        <v>591</v>
      </c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2"/>
    </row>
    <row r="47" spans="1:19" ht="12.75">
      <c r="A47" t="s">
        <v>668</v>
      </c>
      <c r="B47" s="4">
        <v>54.23</v>
      </c>
      <c r="C47" s="2"/>
      <c r="D47" s="2"/>
      <c r="E47" s="2"/>
      <c r="F47" s="2"/>
      <c r="G47" s="2"/>
      <c r="H47" s="2"/>
      <c r="I47" s="2"/>
      <c r="J47" s="2">
        <v>2536</v>
      </c>
      <c r="K47" s="2"/>
      <c r="L47" s="2"/>
      <c r="M47" s="2"/>
      <c r="N47" s="2"/>
      <c r="O47" s="2"/>
      <c r="P47" s="2"/>
      <c r="Q47" s="2"/>
      <c r="R47" s="2"/>
      <c r="S47" s="92"/>
    </row>
    <row r="48" spans="1:20" ht="12.75">
      <c r="A48" t="s">
        <v>857</v>
      </c>
      <c r="B48" s="4"/>
      <c r="C48" s="2"/>
      <c r="D48" s="2"/>
      <c r="E48" s="2"/>
      <c r="F48" s="2"/>
      <c r="G48" s="2"/>
      <c r="H48" s="2"/>
      <c r="I48" s="2"/>
      <c r="J48" s="2"/>
      <c r="K48" s="2">
        <v>42688</v>
      </c>
      <c r="L48" s="2"/>
      <c r="M48" s="2"/>
      <c r="N48" s="2"/>
      <c r="O48" s="2"/>
      <c r="P48" s="2"/>
      <c r="Q48" s="2"/>
      <c r="R48" s="2"/>
      <c r="S48" s="92"/>
      <c r="T48" s="6" t="s">
        <v>826</v>
      </c>
    </row>
    <row r="49" spans="1:19" ht="12.75">
      <c r="A49" t="s">
        <v>592</v>
      </c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2"/>
    </row>
    <row r="50" spans="1:19" ht="12.75">
      <c r="A50" t="s">
        <v>667</v>
      </c>
      <c r="B50" s="4">
        <v>54.2623</v>
      </c>
      <c r="C50" s="2"/>
      <c r="D50" s="2"/>
      <c r="E50" s="2"/>
      <c r="F50" s="2"/>
      <c r="G50" s="2"/>
      <c r="H50" s="2"/>
      <c r="I50" s="2"/>
      <c r="J50" s="2">
        <v>67577</v>
      </c>
      <c r="K50" s="2"/>
      <c r="L50" s="2"/>
      <c r="M50" s="2"/>
      <c r="N50" s="2"/>
      <c r="O50" s="2"/>
      <c r="P50" s="2"/>
      <c r="Q50" s="2"/>
      <c r="R50" s="2"/>
      <c r="S50" s="92"/>
    </row>
    <row r="51" spans="1:19" ht="12.75">
      <c r="A51" t="s">
        <v>375</v>
      </c>
      <c r="B51" s="4">
        <v>54.25</v>
      </c>
      <c r="C51" s="2"/>
      <c r="D51" s="2"/>
      <c r="E51" s="2"/>
      <c r="F51" s="2">
        <v>13326</v>
      </c>
      <c r="G51" s="2"/>
      <c r="H51" s="2"/>
      <c r="I51" s="2">
        <v>4145</v>
      </c>
      <c r="J51" s="2">
        <v>2805</v>
      </c>
      <c r="K51" s="2"/>
      <c r="L51" s="2"/>
      <c r="M51" s="2"/>
      <c r="N51" s="2"/>
      <c r="O51" s="2"/>
      <c r="P51" s="2"/>
      <c r="Q51" s="2"/>
      <c r="R51" s="2"/>
      <c r="S51" s="92"/>
    </row>
    <row r="52" spans="1:19" ht="12.75">
      <c r="A52" t="s">
        <v>343</v>
      </c>
      <c r="B52" s="4">
        <v>54.26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2"/>
    </row>
    <row r="53" spans="1:20" ht="12.75">
      <c r="A53" t="s">
        <v>748</v>
      </c>
      <c r="B53" s="4">
        <v>54.2621</v>
      </c>
      <c r="C53" s="2"/>
      <c r="D53" s="2"/>
      <c r="E53" s="2"/>
      <c r="F53" s="2"/>
      <c r="G53" s="2"/>
      <c r="H53" s="2"/>
      <c r="I53" s="2"/>
      <c r="J53" s="2">
        <v>7470</v>
      </c>
      <c r="K53" s="2"/>
      <c r="L53" s="2"/>
      <c r="M53" s="2"/>
      <c r="N53" s="2"/>
      <c r="O53" s="2"/>
      <c r="P53" s="2"/>
      <c r="Q53" s="2"/>
      <c r="R53" s="2"/>
      <c r="S53" s="92"/>
      <c r="T53" t="s">
        <v>785</v>
      </c>
    </row>
    <row r="54" spans="1:20" ht="12.75">
      <c r="A54" t="s">
        <v>193</v>
      </c>
      <c r="B54" s="4">
        <v>58.12</v>
      </c>
      <c r="C54" s="2"/>
      <c r="D54" s="2">
        <v>36592</v>
      </c>
      <c r="E54" s="2">
        <v>3048</v>
      </c>
      <c r="F54" s="2">
        <v>106214</v>
      </c>
      <c r="G54" s="2">
        <v>45774</v>
      </c>
      <c r="H54" s="2">
        <v>24046</v>
      </c>
      <c r="I54" s="2">
        <v>24046</v>
      </c>
      <c r="J54" s="2">
        <v>24050</v>
      </c>
      <c r="K54" s="2"/>
      <c r="L54" s="2"/>
      <c r="M54" s="2"/>
      <c r="N54" s="2"/>
      <c r="O54" s="2"/>
      <c r="P54" s="2"/>
      <c r="Q54" s="2"/>
      <c r="R54" s="2"/>
      <c r="S54" s="92" t="e">
        <f t="shared" si="1"/>
        <v>#DIV/0!</v>
      </c>
      <c r="T54" s="33"/>
    </row>
    <row r="55" spans="1:19" ht="12.75">
      <c r="A55" t="s">
        <v>230</v>
      </c>
      <c r="B55" s="4"/>
      <c r="C55" s="2"/>
      <c r="D55" s="2"/>
      <c r="E55" s="2"/>
      <c r="F55" s="2"/>
      <c r="G55" s="2"/>
      <c r="H55" s="2"/>
      <c r="I55" s="2"/>
      <c r="J55" s="2"/>
      <c r="K55" s="2">
        <v>8100</v>
      </c>
      <c r="L55" s="2"/>
      <c r="M55" s="2"/>
      <c r="N55" s="2"/>
      <c r="O55" s="2"/>
      <c r="P55" s="2"/>
      <c r="Q55" s="2"/>
      <c r="R55" s="2"/>
      <c r="S55" s="52"/>
    </row>
    <row r="56" spans="1:19" ht="12.75">
      <c r="A56" s="6" t="s">
        <v>116</v>
      </c>
      <c r="B56" s="6"/>
      <c r="C56" s="8">
        <f aca="true" t="shared" si="2" ref="C56:I56">SUM(C7:C55)</f>
        <v>738226</v>
      </c>
      <c r="D56" s="8">
        <f t="shared" si="2"/>
        <v>844120</v>
      </c>
      <c r="E56" s="8">
        <f t="shared" si="2"/>
        <v>894550</v>
      </c>
      <c r="F56" s="8">
        <f t="shared" si="2"/>
        <v>991800</v>
      </c>
      <c r="G56" s="8">
        <f t="shared" si="2"/>
        <v>954749</v>
      </c>
      <c r="H56" s="8">
        <f t="shared" si="2"/>
        <v>937487</v>
      </c>
      <c r="I56" s="8">
        <f t="shared" si="2"/>
        <v>956078</v>
      </c>
      <c r="J56" s="8">
        <v>1325312</v>
      </c>
      <c r="K56" s="8">
        <f>SUM(K7:K55)</f>
        <v>1402333</v>
      </c>
      <c r="L56" s="8">
        <v>1643752</v>
      </c>
      <c r="M56" s="8">
        <f aca="true" t="shared" si="3" ref="M56:R56">SUM(M7:M55)</f>
        <v>1270416.73</v>
      </c>
      <c r="N56" s="8">
        <f t="shared" si="3"/>
        <v>1520278.676</v>
      </c>
      <c r="O56" s="8">
        <f t="shared" si="3"/>
        <v>1571751.97403375</v>
      </c>
      <c r="P56" s="8">
        <f t="shared" si="3"/>
        <v>1712881.69</v>
      </c>
      <c r="Q56" s="8">
        <f t="shared" si="3"/>
        <v>1706321.99142</v>
      </c>
      <c r="R56" s="8">
        <f t="shared" si="3"/>
        <v>1706321.99142</v>
      </c>
      <c r="S56" s="53">
        <f t="shared" si="1"/>
        <v>0.08561784531492538</v>
      </c>
    </row>
    <row r="57" ht="12.75">
      <c r="S57" s="52"/>
    </row>
    <row r="58" spans="15:19" ht="12.75">
      <c r="O58" s="22" t="s">
        <v>488</v>
      </c>
      <c r="P58" s="22"/>
      <c r="Q58" s="56">
        <f>P56-Q56</f>
        <v>6559.698579999851</v>
      </c>
      <c r="S58" s="52"/>
    </row>
    <row r="59" spans="1:17" ht="12.75">
      <c r="A59" s="6"/>
      <c r="O59" s="22" t="s">
        <v>761</v>
      </c>
      <c r="P59" s="22"/>
      <c r="Q59" s="56">
        <f>O56-Q56</f>
        <v>-134570.0173862502</v>
      </c>
    </row>
    <row r="60" spans="15:17" ht="12.75">
      <c r="O60" s="22" t="s">
        <v>436</v>
      </c>
      <c r="P60" s="22"/>
      <c r="Q60" s="56">
        <f>Q56-R56</f>
        <v>0</v>
      </c>
    </row>
    <row r="61" ht="12.75">
      <c r="A61" t="s">
        <v>953</v>
      </c>
    </row>
    <row r="62" ht="12.75">
      <c r="A62" t="s">
        <v>775</v>
      </c>
    </row>
    <row r="63" spans="1:12" ht="12.75">
      <c r="A63" t="s">
        <v>786</v>
      </c>
      <c r="I63" s="43">
        <v>376838</v>
      </c>
      <c r="J63" s="43">
        <v>507965</v>
      </c>
      <c r="K63" s="43">
        <v>553653</v>
      </c>
      <c r="L63" s="43"/>
    </row>
    <row r="64" ht="12.75">
      <c r="A64" t="s">
        <v>1023</v>
      </c>
    </row>
    <row r="66" ht="12.75">
      <c r="A66" t="s">
        <v>31</v>
      </c>
    </row>
    <row r="69" spans="1:2" ht="12.75">
      <c r="A69" s="6"/>
      <c r="B69" s="4"/>
    </row>
    <row r="70" spans="1:2" ht="12.75">
      <c r="A70" s="16"/>
      <c r="B70" s="18"/>
    </row>
    <row r="71" spans="1:18" ht="12.75">
      <c r="A71" s="16"/>
      <c r="P71" s="17"/>
      <c r="Q71" s="17"/>
      <c r="R71" s="17"/>
    </row>
    <row r="73" ht="12.75">
      <c r="B73" s="4"/>
    </row>
    <row r="74" ht="12.75">
      <c r="A74" s="16"/>
    </row>
    <row r="75" spans="1:18" ht="12.75">
      <c r="A75" s="16"/>
      <c r="P75" s="17"/>
      <c r="Q75" s="17"/>
      <c r="R75" s="17"/>
    </row>
    <row r="78" ht="12.75">
      <c r="A78" s="16"/>
    </row>
    <row r="85" ht="12.75">
      <c r="S85" s="2"/>
    </row>
    <row r="86" ht="12.75">
      <c r="S86" s="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112" spans="3:1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61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T84"/>
  <sheetViews>
    <sheetView zoomScale="75" zoomScaleNormal="75" workbookViewId="0" topLeftCell="A1">
      <selection activeCell="J66" sqref="J6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1.7109375" style="0" hidden="1" customWidth="1"/>
    <col min="5" max="5" width="7.140625" style="0" hidden="1" customWidth="1"/>
    <col min="6" max="9" width="7.57421875" style="0" hidden="1" customWidth="1"/>
    <col min="10" max="12" width="7.57421875" style="0" customWidth="1"/>
    <col min="13" max="13" width="6.57421875" style="0" customWidth="1"/>
    <col min="14" max="14" width="8.8515625" style="0" customWidth="1"/>
    <col min="15" max="15" width="10.421875" style="0" customWidth="1"/>
    <col min="17" max="17" width="11.00390625" style="0" bestFit="1" customWidth="1"/>
    <col min="18" max="18" width="8.7109375" style="0" bestFit="1" customWidth="1"/>
    <col min="19" max="19" width="7.57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467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468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62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686</v>
      </c>
      <c r="B7" s="4">
        <v>51.11</v>
      </c>
      <c r="C7" s="2">
        <v>5727</v>
      </c>
      <c r="D7" s="2">
        <v>5840</v>
      </c>
      <c r="E7" s="2">
        <v>5236</v>
      </c>
      <c r="F7" s="2">
        <v>7187</v>
      </c>
      <c r="G7" s="2">
        <v>5907</v>
      </c>
      <c r="H7" s="2">
        <v>6191</v>
      </c>
      <c r="I7" s="2">
        <v>5818</v>
      </c>
      <c r="J7" s="2">
        <v>5929</v>
      </c>
      <c r="K7" s="2">
        <v>6067</v>
      </c>
      <c r="L7" s="2">
        <v>5932</v>
      </c>
      <c r="M7" s="2">
        <v>5209</v>
      </c>
      <c r="N7" s="2">
        <f>+M7/$M$3*12</f>
        <v>6250.799999999999</v>
      </c>
      <c r="O7" s="2">
        <v>6200</v>
      </c>
      <c r="P7" s="2">
        <v>5647</v>
      </c>
      <c r="Q7" s="2">
        <v>5647.46</v>
      </c>
      <c r="R7" s="2">
        <v>5647.46</v>
      </c>
      <c r="S7" s="92">
        <f>(R7-O7)/O7</f>
        <v>-0.08911935483870967</v>
      </c>
    </row>
    <row r="8" spans="1:19" ht="12.75">
      <c r="A8" t="s">
        <v>680</v>
      </c>
      <c r="B8" s="4">
        <v>51.1105</v>
      </c>
      <c r="C8" s="2"/>
      <c r="D8" s="2"/>
      <c r="E8" s="2"/>
      <c r="F8" s="2"/>
      <c r="G8" s="2"/>
      <c r="H8" s="2">
        <v>2360</v>
      </c>
      <c r="I8" s="2">
        <v>2705</v>
      </c>
      <c r="J8" s="2">
        <v>5955</v>
      </c>
      <c r="K8" s="2">
        <v>2965</v>
      </c>
      <c r="L8" s="2">
        <v>2623</v>
      </c>
      <c r="M8" s="2">
        <v>2185</v>
      </c>
      <c r="N8" s="2">
        <f>+M8/$M$3*12</f>
        <v>2622</v>
      </c>
      <c r="O8" s="20">
        <v>3000</v>
      </c>
      <c r="P8" s="20">
        <v>2500</v>
      </c>
      <c r="Q8" s="20">
        <v>2500</v>
      </c>
      <c r="R8" s="20">
        <v>2500</v>
      </c>
      <c r="S8" s="92">
        <f>(R8-O8)/O8</f>
        <v>-0.16666666666666666</v>
      </c>
    </row>
    <row r="9" spans="1:19" ht="12.75">
      <c r="A9" t="s">
        <v>139</v>
      </c>
      <c r="B9" s="4">
        <v>51.22</v>
      </c>
      <c r="C9" s="2">
        <v>424</v>
      </c>
      <c r="D9" s="2">
        <v>446</v>
      </c>
      <c r="E9" s="2">
        <v>400</v>
      </c>
      <c r="F9" s="2">
        <v>550</v>
      </c>
      <c r="G9" s="2">
        <v>452</v>
      </c>
      <c r="H9" s="2">
        <v>654</v>
      </c>
      <c r="I9" s="2">
        <v>652</v>
      </c>
      <c r="J9" s="2">
        <v>909</v>
      </c>
      <c r="K9" s="2">
        <v>691</v>
      </c>
      <c r="L9" s="2">
        <v>654</v>
      </c>
      <c r="M9" s="2">
        <v>566</v>
      </c>
      <c r="N9" s="2">
        <f>+M9/$M$3*12</f>
        <v>679.2</v>
      </c>
      <c r="O9" s="2">
        <v>703.8</v>
      </c>
      <c r="P9" s="2">
        <f>(P7+P8)*0.0765</f>
        <v>623.2455</v>
      </c>
      <c r="Q9" s="2">
        <f>(Q7+Q8)*0.0765</f>
        <v>623.2806899999999</v>
      </c>
      <c r="R9" s="2">
        <f>(R7+R8)*0.0765</f>
        <v>623.2806899999999</v>
      </c>
      <c r="S9" s="92">
        <f>(R9-O9)/O9</f>
        <v>-0.11440652173913046</v>
      </c>
    </row>
    <row r="10" spans="2:19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2"/>
    </row>
    <row r="11" spans="1:19" ht="12.75">
      <c r="A11" t="s">
        <v>664</v>
      </c>
      <c r="B11" s="4">
        <v>52.1216</v>
      </c>
      <c r="C11" s="2"/>
      <c r="D11" s="2"/>
      <c r="E11" s="2"/>
      <c r="F11" s="2"/>
      <c r="G11" s="2"/>
      <c r="H11" s="2"/>
      <c r="I11" s="2"/>
      <c r="J11" s="2">
        <v>634</v>
      </c>
      <c r="K11" s="2"/>
      <c r="L11" s="2">
        <v>347</v>
      </c>
      <c r="M11" s="2"/>
      <c r="N11" s="2">
        <v>300</v>
      </c>
      <c r="O11" s="2">
        <v>500</v>
      </c>
      <c r="P11" s="2">
        <v>500</v>
      </c>
      <c r="Q11" s="2">
        <v>300</v>
      </c>
      <c r="R11" s="2">
        <v>300</v>
      </c>
      <c r="S11" s="92"/>
    </row>
    <row r="12" spans="1:19" ht="12.75">
      <c r="A12" t="s">
        <v>248</v>
      </c>
      <c r="B12" s="4">
        <v>52.1255</v>
      </c>
      <c r="C12" s="2">
        <v>727</v>
      </c>
      <c r="D12" s="2">
        <v>1050</v>
      </c>
      <c r="E12" s="2">
        <v>525</v>
      </c>
      <c r="F12" s="2">
        <v>1550</v>
      </c>
      <c r="G12" s="2">
        <v>75</v>
      </c>
      <c r="H12" s="2">
        <v>125</v>
      </c>
      <c r="I12" s="2"/>
      <c r="J12" s="2"/>
      <c r="K12" s="2">
        <v>250</v>
      </c>
      <c r="L12" s="2"/>
      <c r="M12" s="2">
        <v>600</v>
      </c>
      <c r="N12" s="2">
        <v>500</v>
      </c>
      <c r="O12" s="2">
        <v>150</v>
      </c>
      <c r="P12" s="2">
        <v>200</v>
      </c>
      <c r="Q12" s="2">
        <v>200</v>
      </c>
      <c r="R12" s="2">
        <v>200</v>
      </c>
      <c r="S12" s="92">
        <f aca="true" t="shared" si="0" ref="S12:S18">(R12-O12)/O12</f>
        <v>0.3333333333333333</v>
      </c>
    </row>
    <row r="13" spans="1:19" ht="12.75">
      <c r="A13" t="s">
        <v>645</v>
      </c>
      <c r="B13" s="4">
        <v>52.1256</v>
      </c>
      <c r="C13" s="2"/>
      <c r="D13" s="2"/>
      <c r="E13" s="2"/>
      <c r="F13" s="2"/>
      <c r="G13" s="2"/>
      <c r="H13" s="2"/>
      <c r="I13" s="2">
        <v>965</v>
      </c>
      <c r="J13" s="2">
        <v>600</v>
      </c>
      <c r="K13" s="2"/>
      <c r="L13" s="2">
        <v>413</v>
      </c>
      <c r="M13" s="2">
        <v>0</v>
      </c>
      <c r="N13" s="2">
        <v>300</v>
      </c>
      <c r="O13" s="2">
        <v>750</v>
      </c>
      <c r="P13" s="2">
        <v>750</v>
      </c>
      <c r="Q13" s="2">
        <v>300</v>
      </c>
      <c r="R13" s="2">
        <v>300</v>
      </c>
      <c r="S13" s="92"/>
    </row>
    <row r="14" spans="1:19" ht="12.75">
      <c r="A14" t="s">
        <v>249</v>
      </c>
      <c r="B14" s="4">
        <v>52.1318</v>
      </c>
      <c r="C14" s="2">
        <v>216</v>
      </c>
      <c r="D14" s="2">
        <v>299</v>
      </c>
      <c r="E14" s="2">
        <v>196</v>
      </c>
      <c r="F14" s="2">
        <v>354</v>
      </c>
      <c r="G14" s="2">
        <v>195</v>
      </c>
      <c r="H14" s="2">
        <v>134</v>
      </c>
      <c r="I14" s="2">
        <v>135</v>
      </c>
      <c r="J14" s="2">
        <v>183</v>
      </c>
      <c r="K14" s="2">
        <v>23</v>
      </c>
      <c r="L14" s="2">
        <v>360</v>
      </c>
      <c r="M14" s="2">
        <v>40</v>
      </c>
      <c r="N14" s="2">
        <v>300</v>
      </c>
      <c r="O14" s="2">
        <v>300</v>
      </c>
      <c r="P14" s="2">
        <v>300</v>
      </c>
      <c r="Q14" s="2">
        <v>300</v>
      </c>
      <c r="R14" s="2">
        <v>300</v>
      </c>
      <c r="S14" s="92">
        <f t="shared" si="0"/>
        <v>0</v>
      </c>
    </row>
    <row r="15" spans="1:19" ht="12.75">
      <c r="A15" t="s">
        <v>579</v>
      </c>
      <c r="B15" s="4">
        <v>52.2206</v>
      </c>
      <c r="C15" s="2"/>
      <c r="D15" s="2"/>
      <c r="E15" s="2"/>
      <c r="F15" s="2"/>
      <c r="G15" s="2"/>
      <c r="H15" s="2">
        <v>300</v>
      </c>
      <c r="I15" s="2">
        <v>431</v>
      </c>
      <c r="J15" s="2"/>
      <c r="K15" s="2"/>
      <c r="L15" s="2"/>
      <c r="M15" s="2">
        <v>50</v>
      </c>
      <c r="N15" s="2"/>
      <c r="O15" s="2">
        <v>300</v>
      </c>
      <c r="P15" s="2">
        <v>300</v>
      </c>
      <c r="Q15" s="2"/>
      <c r="R15" s="2"/>
      <c r="S15" s="92"/>
    </row>
    <row r="16" spans="1:19" ht="12.75">
      <c r="A16" t="s">
        <v>141</v>
      </c>
      <c r="B16" s="4">
        <v>52.32</v>
      </c>
      <c r="C16" s="2">
        <v>484</v>
      </c>
      <c r="D16" s="2">
        <v>611</v>
      </c>
      <c r="E16" s="2">
        <v>383</v>
      </c>
      <c r="F16" s="2">
        <v>580</v>
      </c>
      <c r="G16" s="2">
        <v>522</v>
      </c>
      <c r="H16" s="2">
        <v>526</v>
      </c>
      <c r="I16" s="2">
        <v>471</v>
      </c>
      <c r="J16" s="2">
        <v>281</v>
      </c>
      <c r="K16" s="2">
        <v>344</v>
      </c>
      <c r="L16" s="2">
        <v>308</v>
      </c>
      <c r="M16" s="2">
        <v>280</v>
      </c>
      <c r="N16" s="2">
        <f>+M16/$M$3*12</f>
        <v>336</v>
      </c>
      <c r="O16" s="2">
        <v>400</v>
      </c>
      <c r="P16" s="2">
        <v>400</v>
      </c>
      <c r="Q16" s="2">
        <v>400</v>
      </c>
      <c r="R16" s="2">
        <v>400</v>
      </c>
      <c r="S16" s="92">
        <f t="shared" si="0"/>
        <v>0</v>
      </c>
    </row>
    <row r="17" spans="1:19" ht="12.75">
      <c r="A17" t="s">
        <v>154</v>
      </c>
      <c r="B17" s="4">
        <v>52.35</v>
      </c>
      <c r="C17" s="2">
        <v>837</v>
      </c>
      <c r="D17" s="2">
        <v>1605</v>
      </c>
      <c r="E17" s="2">
        <v>878</v>
      </c>
      <c r="F17" s="2">
        <v>1441</v>
      </c>
      <c r="G17" s="2">
        <v>1062</v>
      </c>
      <c r="H17" s="2">
        <v>904</v>
      </c>
      <c r="I17" s="2">
        <v>1578</v>
      </c>
      <c r="J17" s="2">
        <v>1337</v>
      </c>
      <c r="K17" s="2">
        <v>1535</v>
      </c>
      <c r="L17" s="2">
        <v>532</v>
      </c>
      <c r="M17" s="2">
        <v>818</v>
      </c>
      <c r="N17" s="2">
        <f>+M17/$M$3*12</f>
        <v>981.5999999999999</v>
      </c>
      <c r="O17" s="2">
        <v>1400</v>
      </c>
      <c r="P17" s="2">
        <v>1400</v>
      </c>
      <c r="Q17" s="2">
        <v>1400</v>
      </c>
      <c r="R17" s="2">
        <v>1400</v>
      </c>
      <c r="S17" s="92">
        <f t="shared" si="0"/>
        <v>0</v>
      </c>
    </row>
    <row r="18" spans="1:19" ht="12.75">
      <c r="A18" t="s">
        <v>144</v>
      </c>
      <c r="B18" s="4">
        <v>52.3602</v>
      </c>
      <c r="C18" s="2">
        <v>100</v>
      </c>
      <c r="D18" s="2">
        <v>100</v>
      </c>
      <c r="E18" s="2">
        <v>50</v>
      </c>
      <c r="F18" s="2">
        <v>100</v>
      </c>
      <c r="G18" s="2">
        <v>100</v>
      </c>
      <c r="H18" s="2">
        <v>150</v>
      </c>
      <c r="I18" s="2">
        <v>150</v>
      </c>
      <c r="J18" s="2">
        <v>150</v>
      </c>
      <c r="K18" s="2">
        <v>75</v>
      </c>
      <c r="L18" s="2">
        <v>75</v>
      </c>
      <c r="M18" s="2">
        <v>75</v>
      </c>
      <c r="N18" s="2">
        <v>150</v>
      </c>
      <c r="O18" s="2">
        <v>150</v>
      </c>
      <c r="P18" s="2">
        <v>150</v>
      </c>
      <c r="Q18" s="2">
        <v>150</v>
      </c>
      <c r="R18" s="2">
        <v>150</v>
      </c>
      <c r="S18" s="92">
        <f t="shared" si="0"/>
        <v>0</v>
      </c>
    </row>
    <row r="19" spans="1:19" ht="12.75">
      <c r="A19" t="s">
        <v>155</v>
      </c>
      <c r="B19" s="4">
        <v>52.37</v>
      </c>
      <c r="C19" s="2"/>
      <c r="D19" s="2"/>
      <c r="E19" s="2">
        <v>410</v>
      </c>
      <c r="F19" s="2">
        <v>853</v>
      </c>
      <c r="G19" s="2">
        <v>300</v>
      </c>
      <c r="H19" s="2">
        <v>600</v>
      </c>
      <c r="I19" s="2"/>
      <c r="J19" s="2"/>
      <c r="K19" s="2">
        <v>300</v>
      </c>
      <c r="L19" s="2">
        <v>300</v>
      </c>
      <c r="M19" s="2">
        <v>300</v>
      </c>
      <c r="N19" s="2">
        <v>300</v>
      </c>
      <c r="O19" s="2">
        <v>300</v>
      </c>
      <c r="P19" s="2">
        <v>300</v>
      </c>
      <c r="Q19" s="2">
        <v>300</v>
      </c>
      <c r="R19" s="2">
        <v>300</v>
      </c>
      <c r="S19" s="92"/>
    </row>
    <row r="20" spans="2:19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>
      <c r="A21" t="s">
        <v>368</v>
      </c>
      <c r="B21" s="4">
        <v>53.14</v>
      </c>
      <c r="C21" s="2"/>
      <c r="D21" s="2"/>
      <c r="E21" s="2"/>
      <c r="F21" s="2"/>
      <c r="G21" s="2"/>
      <c r="H21" s="2">
        <v>190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92"/>
    </row>
    <row r="22" spans="1:19" ht="12.75">
      <c r="A22" t="s">
        <v>243</v>
      </c>
      <c r="B22" s="4">
        <v>53.1706</v>
      </c>
      <c r="C22" s="2">
        <v>390</v>
      </c>
      <c r="D22" s="2">
        <v>486</v>
      </c>
      <c r="E22" s="2">
        <v>604</v>
      </c>
      <c r="F22" s="2">
        <v>569</v>
      </c>
      <c r="G22" s="2">
        <v>764</v>
      </c>
      <c r="H22" s="2">
        <v>551</v>
      </c>
      <c r="I22" s="2">
        <f>435+145</f>
        <v>580</v>
      </c>
      <c r="J22" s="2">
        <v>587</v>
      </c>
      <c r="K22" s="2">
        <f>476+102</f>
        <v>578</v>
      </c>
      <c r="L22" s="2">
        <v>259</v>
      </c>
      <c r="M22" s="2">
        <v>338.49</v>
      </c>
      <c r="N22" s="2">
        <v>500</v>
      </c>
      <c r="O22" s="2">
        <v>600</v>
      </c>
      <c r="P22" s="2">
        <v>700</v>
      </c>
      <c r="Q22" s="2">
        <v>500</v>
      </c>
      <c r="R22" s="2">
        <v>500</v>
      </c>
      <c r="S22" s="92">
        <f>(R22-O22)/O22</f>
        <v>-0.16666666666666666</v>
      </c>
    </row>
    <row r="23" spans="1:19" ht="12.75">
      <c r="A23" t="s">
        <v>149</v>
      </c>
      <c r="B23" s="4">
        <v>53.171</v>
      </c>
      <c r="C23" s="2">
        <v>62</v>
      </c>
      <c r="D23" s="2">
        <v>452</v>
      </c>
      <c r="E23" s="2">
        <v>1035</v>
      </c>
      <c r="F23" s="2">
        <v>297</v>
      </c>
      <c r="G23" s="2">
        <v>216</v>
      </c>
      <c r="H23" s="2">
        <v>46</v>
      </c>
      <c r="I23" s="2">
        <v>106</v>
      </c>
      <c r="J23" s="2">
        <f>39+173</f>
        <v>212</v>
      </c>
      <c r="K23" s="2">
        <f>146+127</f>
        <v>273</v>
      </c>
      <c r="L23" s="2">
        <v>164</v>
      </c>
      <c r="M23" s="2">
        <v>30.67</v>
      </c>
      <c r="N23" s="2">
        <v>200</v>
      </c>
      <c r="O23" s="2">
        <v>200</v>
      </c>
      <c r="P23" s="2">
        <v>200</v>
      </c>
      <c r="Q23" s="2">
        <v>200</v>
      </c>
      <c r="R23" s="2">
        <v>200</v>
      </c>
      <c r="S23" s="92">
        <f>(R23-O23)/O23</f>
        <v>0</v>
      </c>
    </row>
    <row r="24" spans="1:19" ht="12.75">
      <c r="A24" t="s">
        <v>228</v>
      </c>
      <c r="B24" s="4">
        <v>53.173</v>
      </c>
      <c r="C24" s="2">
        <v>80</v>
      </c>
      <c r="D24" s="2">
        <v>70</v>
      </c>
      <c r="E24" s="2">
        <v>99</v>
      </c>
      <c r="F24" s="2">
        <v>159</v>
      </c>
      <c r="G24" s="2">
        <v>132</v>
      </c>
      <c r="H24" s="2">
        <v>140</v>
      </c>
      <c r="I24" s="2">
        <v>151</v>
      </c>
      <c r="J24" s="2">
        <v>82</v>
      </c>
      <c r="K24" s="2">
        <v>147</v>
      </c>
      <c r="L24" s="2"/>
      <c r="M24" s="2">
        <v>0</v>
      </c>
      <c r="N24" s="2">
        <v>150</v>
      </c>
      <c r="O24" s="2">
        <v>150</v>
      </c>
      <c r="P24" s="2">
        <v>150</v>
      </c>
      <c r="Q24" s="2">
        <v>150</v>
      </c>
      <c r="R24" s="2">
        <v>150</v>
      </c>
      <c r="S24" s="92">
        <f>(R24-O24)/O24</f>
        <v>0</v>
      </c>
    </row>
    <row r="25" spans="1:19" ht="12.75">
      <c r="A25" t="s">
        <v>972</v>
      </c>
      <c r="B25" s="4">
        <v>53.1737</v>
      </c>
      <c r="C25" s="2"/>
      <c r="D25" s="2"/>
      <c r="E25" s="2"/>
      <c r="F25" s="2"/>
      <c r="G25" s="2"/>
      <c r="H25" s="2"/>
      <c r="I25" s="2"/>
      <c r="J25" s="2"/>
      <c r="K25" s="2"/>
      <c r="L25" s="2">
        <v>84</v>
      </c>
      <c r="M25" s="2"/>
      <c r="N25" s="2"/>
      <c r="O25" s="2"/>
      <c r="P25" s="2"/>
      <c r="Q25" s="2"/>
      <c r="R25" s="2"/>
      <c r="S25" s="92"/>
    </row>
    <row r="26" spans="1:19" ht="12.75">
      <c r="A26" t="s">
        <v>188</v>
      </c>
      <c r="B26" s="4">
        <v>53.175</v>
      </c>
      <c r="C26" s="2"/>
      <c r="D26" s="2"/>
      <c r="E26" s="2"/>
      <c r="F26" s="2"/>
      <c r="G26" s="2">
        <v>13</v>
      </c>
      <c r="H26" s="2">
        <v>687</v>
      </c>
      <c r="I26" s="2">
        <v>651</v>
      </c>
      <c r="J26" s="2">
        <v>48</v>
      </c>
      <c r="K26" s="2">
        <v>11</v>
      </c>
      <c r="L26" s="2">
        <v>309</v>
      </c>
      <c r="M26" s="2">
        <v>32.32</v>
      </c>
      <c r="N26" s="2">
        <f>+M26/$M$3*12</f>
        <v>38.784000000000006</v>
      </c>
      <c r="O26" s="2">
        <v>500</v>
      </c>
      <c r="P26" s="2">
        <v>500</v>
      </c>
      <c r="Q26" s="2">
        <v>300</v>
      </c>
      <c r="R26" s="2">
        <v>300</v>
      </c>
      <c r="S26" s="92"/>
    </row>
    <row r="27" spans="1:19" ht="12.75">
      <c r="A27" t="s">
        <v>578</v>
      </c>
      <c r="B27" s="4">
        <v>53.176</v>
      </c>
      <c r="C27" s="2"/>
      <c r="D27" s="2"/>
      <c r="E27" s="2"/>
      <c r="F27" s="2"/>
      <c r="G27" s="2"/>
      <c r="H27" s="2">
        <v>31</v>
      </c>
      <c r="I27" s="2">
        <v>15</v>
      </c>
      <c r="J27" s="2">
        <v>23</v>
      </c>
      <c r="K27" s="2">
        <v>13</v>
      </c>
      <c r="L27" s="2">
        <v>32</v>
      </c>
      <c r="M27" s="2">
        <v>25</v>
      </c>
      <c r="N27" s="2">
        <f>+M27/$M$3*12</f>
        <v>30</v>
      </c>
      <c r="O27" s="2">
        <v>25</v>
      </c>
      <c r="P27" s="2">
        <v>50</v>
      </c>
      <c r="Q27" s="2">
        <v>25</v>
      </c>
      <c r="R27" s="2">
        <v>25</v>
      </c>
      <c r="S27" s="92"/>
    </row>
    <row r="28" spans="2:19" ht="12.75">
      <c r="B28" s="4"/>
      <c r="C28" s="2"/>
      <c r="D28" s="2"/>
      <c r="E28" s="2"/>
      <c r="F28" s="2"/>
      <c r="G28" s="2"/>
      <c r="H28" s="2"/>
      <c r="I28" s="2"/>
      <c r="J28" s="2">
        <v>201</v>
      </c>
      <c r="K28" s="2"/>
      <c r="L28" s="2"/>
      <c r="M28" s="2"/>
      <c r="N28" s="2">
        <f>+M28/$M$3*12</f>
        <v>0</v>
      </c>
      <c r="O28" s="2"/>
      <c r="P28" s="2"/>
      <c r="Q28" s="2"/>
      <c r="R28" s="2"/>
      <c r="S28" s="92"/>
    </row>
    <row r="29" spans="1:19" ht="12.75">
      <c r="A29" t="s">
        <v>357</v>
      </c>
      <c r="B29" s="4">
        <v>53.179</v>
      </c>
      <c r="C29" s="2"/>
      <c r="D29" s="2"/>
      <c r="E29" s="2"/>
      <c r="F29" s="2"/>
      <c r="G29" s="2"/>
      <c r="H29" s="2">
        <v>461</v>
      </c>
      <c r="I29" s="2">
        <v>632</v>
      </c>
      <c r="J29" s="2">
        <v>1000</v>
      </c>
      <c r="K29" s="2">
        <v>520</v>
      </c>
      <c r="L29" s="2">
        <v>1332</v>
      </c>
      <c r="M29" s="2">
        <v>808</v>
      </c>
      <c r="N29" s="2">
        <f>+M29/$M$3*12</f>
        <v>969.5999999999999</v>
      </c>
      <c r="O29" s="2">
        <v>1200</v>
      </c>
      <c r="P29" s="2">
        <v>1400</v>
      </c>
      <c r="Q29" s="2">
        <v>1200</v>
      </c>
      <c r="R29" s="2">
        <v>1000</v>
      </c>
      <c r="S29" s="92"/>
    </row>
    <row r="30" spans="1:20" ht="12.75">
      <c r="A30" t="s">
        <v>192</v>
      </c>
      <c r="B30" s="4">
        <v>54.25</v>
      </c>
      <c r="C30" s="2"/>
      <c r="D30" s="2"/>
      <c r="E30" s="2">
        <v>679</v>
      </c>
      <c r="F30" s="2">
        <v>629</v>
      </c>
      <c r="G30" s="2">
        <v>250</v>
      </c>
      <c r="H30" s="2">
        <v>2640</v>
      </c>
      <c r="I30" s="2">
        <v>9</v>
      </c>
      <c r="J30" s="2"/>
      <c r="K30" s="2">
        <f>477+328</f>
        <v>805</v>
      </c>
      <c r="L30" s="2">
        <v>41</v>
      </c>
      <c r="M30" s="2"/>
      <c r="N30" s="2"/>
      <c r="O30" s="2"/>
      <c r="P30" s="2">
        <v>900</v>
      </c>
      <c r="Q30" s="2"/>
      <c r="R30" s="2"/>
      <c r="S30" s="92"/>
      <c r="T30" t="s">
        <v>376</v>
      </c>
    </row>
    <row r="31" spans="1:19" ht="12.75">
      <c r="A31" t="s">
        <v>567</v>
      </c>
      <c r="B31" s="4">
        <v>54.26</v>
      </c>
      <c r="C31" s="5"/>
      <c r="D31" s="5"/>
      <c r="E31" s="5"/>
      <c r="F31" s="5"/>
      <c r="G31" s="2">
        <v>415</v>
      </c>
      <c r="H31" s="2"/>
      <c r="I31" s="2"/>
      <c r="J31" s="2"/>
      <c r="K31" s="2">
        <v>715</v>
      </c>
      <c r="L31" s="2"/>
      <c r="M31" s="2"/>
      <c r="N31" s="5"/>
      <c r="O31" s="5"/>
      <c r="P31" s="5"/>
      <c r="Q31" s="5"/>
      <c r="R31" s="5"/>
      <c r="S31" s="92"/>
    </row>
    <row r="32" spans="2:19" ht="12.75">
      <c r="B32" s="4"/>
      <c r="C32" s="5"/>
      <c r="D32" s="5"/>
      <c r="E32" s="5"/>
      <c r="F32" s="5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92"/>
    </row>
    <row r="33" spans="2:19" ht="12.75">
      <c r="B33" s="4"/>
      <c r="C33" s="5"/>
      <c r="D33" s="5"/>
      <c r="E33" s="5"/>
      <c r="F33" s="5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92"/>
    </row>
    <row r="34" spans="1:19" ht="12.75">
      <c r="A34" s="6" t="s">
        <v>116</v>
      </c>
      <c r="C34" s="8">
        <f aca="true" t="shared" si="1" ref="C34:I34">SUM(C7:C31)</f>
        <v>9047</v>
      </c>
      <c r="D34" s="8">
        <f t="shared" si="1"/>
        <v>10959</v>
      </c>
      <c r="E34" s="8">
        <f t="shared" si="1"/>
        <v>10495</v>
      </c>
      <c r="F34" s="8">
        <f t="shared" si="1"/>
        <v>14269</v>
      </c>
      <c r="G34" s="8">
        <f t="shared" si="1"/>
        <v>10403</v>
      </c>
      <c r="H34" s="8">
        <f t="shared" si="1"/>
        <v>16690</v>
      </c>
      <c r="I34" s="8">
        <f t="shared" si="1"/>
        <v>15049</v>
      </c>
      <c r="J34" s="8">
        <v>18403</v>
      </c>
      <c r="K34" s="8">
        <f aca="true" t="shared" si="2" ref="K34:R34">SUM(K7:K31)</f>
        <v>15312</v>
      </c>
      <c r="L34" s="8">
        <v>13765</v>
      </c>
      <c r="M34" s="8">
        <f t="shared" si="2"/>
        <v>11357.48</v>
      </c>
      <c r="N34" s="8">
        <f t="shared" si="2"/>
        <v>14607.984</v>
      </c>
      <c r="O34" s="8">
        <f t="shared" si="2"/>
        <v>16828.8</v>
      </c>
      <c r="P34" s="8">
        <f t="shared" si="2"/>
        <v>16970.2455</v>
      </c>
      <c r="Q34" s="8">
        <f t="shared" si="2"/>
        <v>14495.74069</v>
      </c>
      <c r="R34" s="8">
        <f t="shared" si="2"/>
        <v>14295.74069</v>
      </c>
      <c r="S34" s="96">
        <f>(R34-O34)/O34</f>
        <v>-0.15051930678360897</v>
      </c>
    </row>
    <row r="35" ht="12.75">
      <c r="S35" s="52"/>
    </row>
    <row r="36" spans="15:19" ht="12.75">
      <c r="O36" s="22" t="s">
        <v>488</v>
      </c>
      <c r="P36" s="22"/>
      <c r="Q36" s="56">
        <f>P34-Q34</f>
        <v>2474.5048100000004</v>
      </c>
      <c r="S36" s="52"/>
    </row>
    <row r="37" spans="1:19" ht="12.75">
      <c r="A37" s="6"/>
      <c r="O37" s="22" t="s">
        <v>761</v>
      </c>
      <c r="P37" s="22"/>
      <c r="Q37" s="56">
        <f>O34-Q34</f>
        <v>2333.0593099999987</v>
      </c>
      <c r="S37" s="52"/>
    </row>
    <row r="38" spans="15:19" ht="12.75">
      <c r="O38" s="22" t="s">
        <v>436</v>
      </c>
      <c r="P38" s="22"/>
      <c r="Q38" s="56">
        <f>Q34-R34</f>
        <v>200</v>
      </c>
      <c r="S38" s="52"/>
    </row>
    <row r="39" spans="1:19" ht="12.75">
      <c r="A39" s="6" t="s">
        <v>597</v>
      </c>
      <c r="S39" s="52"/>
    </row>
    <row r="40" spans="1:19" ht="12.75">
      <c r="A40" t="s">
        <v>1017</v>
      </c>
      <c r="B40" t="s">
        <v>1018</v>
      </c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76" ht="12.75">
      <c r="S76" s="2"/>
    </row>
    <row r="77" ht="12.75">
      <c r="S77" s="2"/>
    </row>
    <row r="78" ht="12.75">
      <c r="S78" s="2"/>
    </row>
    <row r="79" spans="3:1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8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98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U76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34.00390625" style="0" customWidth="1"/>
    <col min="2" max="2" width="6.57421875" style="0" customWidth="1"/>
    <col min="3" max="9" width="8.00390625" style="0" hidden="1" customWidth="1"/>
    <col min="10" max="14" width="8.00390625" style="0" bestFit="1" customWidth="1"/>
    <col min="15" max="15" width="10.140625" style="0" customWidth="1"/>
    <col min="17" max="17" width="10.7109375" style="0" bestFit="1" customWidth="1"/>
    <col min="18" max="18" width="8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469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20" ht="12.75">
      <c r="A7" t="s">
        <v>707</v>
      </c>
      <c r="B7" s="4">
        <v>57.215</v>
      </c>
      <c r="C7" s="2">
        <v>15000</v>
      </c>
      <c r="D7" s="2">
        <v>30000</v>
      </c>
      <c r="E7" s="2">
        <v>30000</v>
      </c>
      <c r="F7" s="2">
        <v>30000</v>
      </c>
      <c r="G7" s="2">
        <v>30000</v>
      </c>
      <c r="H7" s="2">
        <v>25000</v>
      </c>
      <c r="I7" s="2">
        <v>25000</v>
      </c>
      <c r="J7" s="2">
        <v>30000</v>
      </c>
      <c r="K7" s="2">
        <v>35000</v>
      </c>
      <c r="L7" s="2">
        <v>35000</v>
      </c>
      <c r="M7" s="2">
        <v>29925</v>
      </c>
      <c r="N7" s="2">
        <v>29925</v>
      </c>
      <c r="O7" s="2">
        <v>29925</v>
      </c>
      <c r="P7" s="2">
        <v>35000</v>
      </c>
      <c r="Q7" s="2">
        <v>29925</v>
      </c>
      <c r="R7" s="2">
        <v>29925</v>
      </c>
      <c r="S7" s="52">
        <f>(R7-O7)/O7</f>
        <v>0</v>
      </c>
      <c r="T7" s="6"/>
    </row>
    <row r="8" spans="1:20" ht="12.75">
      <c r="A8" t="s">
        <v>8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20000</v>
      </c>
      <c r="P8" s="2">
        <v>20000</v>
      </c>
      <c r="Q8" s="2">
        <v>20000</v>
      </c>
      <c r="R8" s="2"/>
      <c r="S8" s="52"/>
      <c r="T8" s="6"/>
    </row>
    <row r="9" spans="1:20" ht="12.75">
      <c r="A9" t="s">
        <v>9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2"/>
      <c r="T9" s="6"/>
    </row>
    <row r="10" spans="1:19" ht="12.75">
      <c r="A10" t="s">
        <v>870</v>
      </c>
      <c r="B10" s="4">
        <v>52.1218</v>
      </c>
      <c r="C10" s="5"/>
      <c r="D10" s="5"/>
      <c r="E10" s="5"/>
      <c r="F10" s="5"/>
      <c r="G10" s="5"/>
      <c r="H10" s="5"/>
      <c r="I10" s="5"/>
      <c r="J10" s="5"/>
      <c r="K10" s="2">
        <v>1000</v>
      </c>
      <c r="L10" s="2">
        <v>4000</v>
      </c>
      <c r="M10" s="2"/>
      <c r="N10" s="2"/>
      <c r="O10" s="5"/>
      <c r="P10" s="5"/>
      <c r="Q10" s="2"/>
      <c r="R10" s="2"/>
      <c r="S10" s="52"/>
    </row>
    <row r="11" spans="2:19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2"/>
    </row>
    <row r="12" spans="1:19" ht="12.75">
      <c r="A12" s="6" t="s">
        <v>116</v>
      </c>
      <c r="B12" s="6"/>
      <c r="C12" s="8">
        <f aca="true" t="shared" si="0" ref="C12:I12">SUM(C7:C11)</f>
        <v>15000</v>
      </c>
      <c r="D12" s="8">
        <f t="shared" si="0"/>
        <v>30000</v>
      </c>
      <c r="E12" s="8">
        <f t="shared" si="0"/>
        <v>30000</v>
      </c>
      <c r="F12" s="8">
        <f t="shared" si="0"/>
        <v>30000</v>
      </c>
      <c r="G12" s="8">
        <f t="shared" si="0"/>
        <v>30000</v>
      </c>
      <c r="H12" s="8">
        <f t="shared" si="0"/>
        <v>25000</v>
      </c>
      <c r="I12" s="8">
        <f t="shared" si="0"/>
        <v>25000</v>
      </c>
      <c r="J12" s="8">
        <v>30000</v>
      </c>
      <c r="K12" s="8">
        <f aca="true" t="shared" si="1" ref="K12:R12">SUM(K7:K11)</f>
        <v>36000</v>
      </c>
      <c r="L12" s="8">
        <v>39000</v>
      </c>
      <c r="M12" s="8">
        <f t="shared" si="1"/>
        <v>29925</v>
      </c>
      <c r="N12" s="8">
        <f t="shared" si="1"/>
        <v>29925</v>
      </c>
      <c r="O12" s="8">
        <f t="shared" si="1"/>
        <v>49925</v>
      </c>
      <c r="P12" s="8">
        <f t="shared" si="1"/>
        <v>55000</v>
      </c>
      <c r="Q12" s="8">
        <f t="shared" si="1"/>
        <v>49925</v>
      </c>
      <c r="R12" s="8">
        <f t="shared" si="1"/>
        <v>29925</v>
      </c>
      <c r="S12" s="52">
        <f>(R12-O12)/O12</f>
        <v>-0.400600901352028</v>
      </c>
    </row>
    <row r="13" ht="12.75">
      <c r="S13" s="52"/>
    </row>
    <row r="14" spans="15:19" ht="12.75">
      <c r="O14" s="22" t="s">
        <v>488</v>
      </c>
      <c r="P14" s="22"/>
      <c r="Q14" s="56">
        <f>P12-Q12</f>
        <v>5075</v>
      </c>
      <c r="S14" s="52"/>
    </row>
    <row r="15" spans="15:19" ht="12.75">
      <c r="O15" s="22" t="s">
        <v>761</v>
      </c>
      <c r="P15" s="22"/>
      <c r="Q15" s="56">
        <f>O12-Q12</f>
        <v>0</v>
      </c>
      <c r="S15" s="52"/>
    </row>
    <row r="16" spans="15:19" ht="12.75">
      <c r="O16" s="22" t="s">
        <v>436</v>
      </c>
      <c r="P16" s="22"/>
      <c r="Q16" s="56">
        <f>Q12-R12</f>
        <v>20000</v>
      </c>
      <c r="S16" s="52"/>
    </row>
    <row r="17" ht="12.75">
      <c r="S17" s="52"/>
    </row>
    <row r="18" spans="1:19" ht="12.75">
      <c r="A18" s="46"/>
      <c r="S18" s="52"/>
    </row>
    <row r="19" ht="12.75">
      <c r="S19" s="52"/>
    </row>
    <row r="20" spans="1:19" ht="12.75">
      <c r="A20" s="6"/>
      <c r="S20" s="52"/>
    </row>
    <row r="21" ht="12.75">
      <c r="S21" s="52"/>
    </row>
    <row r="22" spans="19:21" ht="12.75">
      <c r="S22" s="52"/>
      <c r="U22" t="s">
        <v>683</v>
      </c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71" ht="12.75"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  <row r="76" ht="12.75">
      <c r="S76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tabSelected="1" workbookViewId="0" topLeftCell="A1">
      <pane ySplit="1800" topLeftCell="BM1" activePane="topLeft" state="split"/>
      <selection pane="topLeft" activeCell="B1" sqref="B1"/>
      <selection pane="bottomLeft" activeCell="K23" sqref="K23"/>
    </sheetView>
  </sheetViews>
  <sheetFormatPr defaultColWidth="9.140625" defaultRowHeight="12.75"/>
  <cols>
    <col min="1" max="1" width="36.7109375" style="0" customWidth="1"/>
    <col min="2" max="2" width="6.00390625" style="0" bestFit="1" customWidth="1"/>
    <col min="3" max="6" width="9.140625" style="0" hidden="1" customWidth="1"/>
    <col min="7" max="7" width="25.7109375" style="0" hidden="1" customWidth="1"/>
    <col min="8" max="8" width="9.140625" style="0" hidden="1" customWidth="1"/>
    <col min="9" max="9" width="13.421875" style="0" hidden="1" customWidth="1"/>
    <col min="10" max="12" width="13.421875" style="0" customWidth="1"/>
    <col min="13" max="13" width="13.00390625" style="0" bestFit="1" customWidth="1"/>
    <col min="14" max="14" width="13.57421875" style="0" bestFit="1" customWidth="1"/>
    <col min="15" max="16" width="10.140625" style="0" bestFit="1" customWidth="1"/>
    <col min="17" max="17" width="13.421875" style="0" customWidth="1"/>
    <col min="18" max="18" width="10.7109375" style="0" customWidth="1"/>
    <col min="19" max="19" width="10.28125" style="82" hidden="1" customWidth="1"/>
    <col min="20" max="20" width="9.7109375" style="82" hidden="1" customWidth="1"/>
    <col min="21" max="21" width="8.7109375" style="82" hidden="1" customWidth="1"/>
    <col min="22" max="22" width="9.7109375" style="82" hidden="1" customWidth="1"/>
    <col min="23" max="23" width="8.57421875" style="88" bestFit="1" customWidth="1"/>
    <col min="24" max="24" width="6.8515625" style="0" hidden="1" customWidth="1"/>
    <col min="25" max="25" width="7.28125" style="0" bestFit="1" customWidth="1"/>
  </cols>
  <sheetData>
    <row r="1" spans="1:2" ht="12.75">
      <c r="A1" t="s">
        <v>106</v>
      </c>
      <c r="B1" s="77">
        <v>2010</v>
      </c>
    </row>
    <row r="2" ht="12.75">
      <c r="A2" t="s">
        <v>107</v>
      </c>
    </row>
    <row r="3" spans="1:25" ht="12.75">
      <c r="A3" s="6" t="s">
        <v>416</v>
      </c>
      <c r="M3" s="80"/>
      <c r="N3" s="9"/>
      <c r="X3" t="s">
        <v>852</v>
      </c>
      <c r="Y3" t="s">
        <v>853</v>
      </c>
    </row>
    <row r="4" spans="3:25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O4" s="1"/>
      <c r="P4" s="81" t="s">
        <v>529</v>
      </c>
      <c r="Q4" s="81" t="s">
        <v>431</v>
      </c>
      <c r="R4" s="81" t="s">
        <v>530</v>
      </c>
      <c r="S4" s="83" t="s">
        <v>531</v>
      </c>
      <c r="T4" s="83" t="s">
        <v>431</v>
      </c>
      <c r="U4" s="83" t="s">
        <v>344</v>
      </c>
      <c r="W4" s="100" t="s">
        <v>501</v>
      </c>
      <c r="X4" s="1" t="s">
        <v>545</v>
      </c>
      <c r="Y4" s="1" t="s">
        <v>545</v>
      </c>
    </row>
    <row r="5" spans="3:25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446</v>
      </c>
      <c r="O5" s="1" t="s">
        <v>354</v>
      </c>
      <c r="P5" s="81" t="s">
        <v>430</v>
      </c>
      <c r="Q5" s="81" t="s">
        <v>691</v>
      </c>
      <c r="R5" s="81" t="s">
        <v>528</v>
      </c>
      <c r="S5" s="84" t="s">
        <v>532</v>
      </c>
      <c r="T5" s="84" t="s">
        <v>534</v>
      </c>
      <c r="U5" s="84" t="s">
        <v>677</v>
      </c>
      <c r="V5" s="83" t="s">
        <v>535</v>
      </c>
      <c r="W5" s="89" t="s">
        <v>427</v>
      </c>
      <c r="X5">
        <v>2008</v>
      </c>
      <c r="Y5">
        <v>2010</v>
      </c>
    </row>
    <row r="6" spans="3:25" ht="13.5" thickBot="1">
      <c r="C6" s="62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62">
        <v>2009</v>
      </c>
      <c r="N6" s="62">
        <v>2009</v>
      </c>
      <c r="O6" s="62">
        <v>2009</v>
      </c>
      <c r="P6" s="62">
        <v>2010</v>
      </c>
      <c r="Q6" s="62">
        <v>2010</v>
      </c>
      <c r="R6" s="62">
        <v>2010</v>
      </c>
      <c r="S6" s="85" t="s">
        <v>533</v>
      </c>
      <c r="T6" s="85" t="s">
        <v>824</v>
      </c>
      <c r="U6" s="85" t="s">
        <v>678</v>
      </c>
      <c r="V6" s="85" t="s">
        <v>536</v>
      </c>
      <c r="W6" s="99" t="s">
        <v>53</v>
      </c>
      <c r="X6" s="62" t="s">
        <v>354</v>
      </c>
      <c r="Y6" s="62" t="s">
        <v>354</v>
      </c>
    </row>
    <row r="7" spans="1:25" ht="12.75">
      <c r="A7" s="33" t="s">
        <v>165</v>
      </c>
      <c r="B7" s="11">
        <v>10000</v>
      </c>
      <c r="C7" s="2">
        <v>64672</v>
      </c>
      <c r="D7" s="2">
        <v>100709</v>
      </c>
      <c r="E7" s="2">
        <v>96592</v>
      </c>
      <c r="F7" s="2">
        <v>137133</v>
      </c>
      <c r="G7" s="2">
        <v>150535</v>
      </c>
      <c r="H7" s="2">
        <v>109043</v>
      </c>
      <c r="I7" s="132">
        <v>252934</v>
      </c>
      <c r="J7" s="2">
        <v>121413</v>
      </c>
      <c r="K7" s="2">
        <v>146837.96</v>
      </c>
      <c r="L7" s="2">
        <v>110401</v>
      </c>
      <c r="M7" s="2">
        <f>'GF10000'!M61</f>
        <v>45135.549999999996</v>
      </c>
      <c r="N7" s="2">
        <f>'GF10000'!N61</f>
        <v>101746.48049999999</v>
      </c>
      <c r="O7" s="2">
        <f>'GF10000'!O61</f>
        <v>131470</v>
      </c>
      <c r="P7" s="2">
        <f>'GF10000'!P61</f>
        <v>212174.5235</v>
      </c>
      <c r="Q7" s="2">
        <f>'GF10000'!Q61</f>
        <v>210643.7405</v>
      </c>
      <c r="R7" s="2">
        <f>'GF10000'!R61</f>
        <v>205143.7405</v>
      </c>
      <c r="S7" s="82">
        <f>'GF10000'!Q63</f>
        <v>1530.7829999999958</v>
      </c>
      <c r="T7" s="82">
        <f>'GF10000'!Q64</f>
        <v>-79173.74050000001</v>
      </c>
      <c r="U7" s="126">
        <f>(Q7-O7)/O7</f>
        <v>0.6022190651859741</v>
      </c>
      <c r="V7" s="82">
        <f>'GF10000'!Q65</f>
        <v>5500</v>
      </c>
      <c r="W7" s="90">
        <f>(R7-O7)/O7</f>
        <v>0.5603844261048149</v>
      </c>
      <c r="X7" s="98">
        <f>Q7/Q$55</f>
        <v>0.020378512095715753</v>
      </c>
      <c r="Y7" s="98">
        <f>R7/R$55</f>
        <v>0.022581088627142514</v>
      </c>
    </row>
    <row r="8" spans="1:25" ht="12.75">
      <c r="A8" t="s">
        <v>420</v>
      </c>
      <c r="B8" s="11">
        <v>13000</v>
      </c>
      <c r="C8" s="2">
        <v>172023</v>
      </c>
      <c r="D8" s="2">
        <v>192947</v>
      </c>
      <c r="E8" s="2">
        <v>206866</v>
      </c>
      <c r="F8" s="2">
        <v>222152</v>
      </c>
      <c r="G8" s="2">
        <v>217336</v>
      </c>
      <c r="H8" s="2">
        <v>251734</v>
      </c>
      <c r="I8" s="43">
        <v>293432</v>
      </c>
      <c r="J8" s="2">
        <v>307781</v>
      </c>
      <c r="K8" s="2">
        <v>334207</v>
      </c>
      <c r="L8" s="2">
        <v>346323</v>
      </c>
      <c r="M8" s="2">
        <f>'GF13000'!M38</f>
        <v>281852.53</v>
      </c>
      <c r="N8" s="2">
        <f>'GF13000'!N38</f>
        <v>338875.71900000004</v>
      </c>
      <c r="O8" s="2">
        <f>'GF13000'!O38</f>
        <v>361359.22459349997</v>
      </c>
      <c r="P8" s="2">
        <f>'GF13000'!P38</f>
        <v>364097.18736</v>
      </c>
      <c r="Q8" s="2">
        <f>'GF13000'!Q38</f>
        <v>364096.929</v>
      </c>
      <c r="R8" s="2">
        <f>'GF13000'!R38</f>
        <v>361359.3895</v>
      </c>
      <c r="S8" s="82">
        <f>'GF13000'!Q40</f>
        <v>0.25835999997798353</v>
      </c>
      <c r="T8" s="82">
        <f>'GF13000'!Q41</f>
        <v>-2737.7044065000373</v>
      </c>
      <c r="U8" s="126">
        <f aca="true" t="shared" si="0" ref="U8:U53">(Q8-O8)/O8</f>
        <v>0.0075761298458057475</v>
      </c>
      <c r="V8" s="82">
        <f>'GF13000'!Q42</f>
        <v>2737.5395000000135</v>
      </c>
      <c r="W8" s="90">
        <f aca="true" t="shared" si="1" ref="W8:W55">(R8-O8)/O8</f>
        <v>4.563506029472369E-07</v>
      </c>
      <c r="X8" s="98">
        <f aca="true" t="shared" si="2" ref="X8:X53">Q8/P$55</f>
        <v>0.033752033829092344</v>
      </c>
      <c r="Y8" s="98">
        <f aca="true" t="shared" si="3" ref="Y8:Y37">R8/R$55</f>
        <v>0.039776443486217956</v>
      </c>
    </row>
    <row r="9" spans="1:25" ht="12.75">
      <c r="A9" t="s">
        <v>418</v>
      </c>
      <c r="B9" s="11">
        <v>14000</v>
      </c>
      <c r="C9" s="2">
        <v>28622</v>
      </c>
      <c r="D9" s="2">
        <v>45160</v>
      </c>
      <c r="E9" s="2">
        <v>21951</v>
      </c>
      <c r="F9" s="2">
        <v>28703</v>
      </c>
      <c r="G9" s="2">
        <v>25816</v>
      </c>
      <c r="H9" s="2">
        <v>30168</v>
      </c>
      <c r="I9" s="2">
        <v>18239</v>
      </c>
      <c r="J9" s="2">
        <v>31154</v>
      </c>
      <c r="K9" s="2">
        <v>24155</v>
      </c>
      <c r="L9" s="2">
        <v>30235</v>
      </c>
      <c r="M9" s="2">
        <f>'GF14000'!M32</f>
        <v>17826.95</v>
      </c>
      <c r="N9" s="2">
        <f>'GF14000'!N32</f>
        <v>17826.95</v>
      </c>
      <c r="O9" s="2">
        <f>'GF14000'!O32</f>
        <v>19955</v>
      </c>
      <c r="P9" s="2">
        <f>'GF14000'!P32</f>
        <v>21677</v>
      </c>
      <c r="Q9" s="2">
        <f>'GF14000'!Q32</f>
        <v>16690</v>
      </c>
      <c r="R9" s="2">
        <f>'GF14000'!R32</f>
        <v>16390</v>
      </c>
      <c r="S9" s="82">
        <f>'GF14000'!Q34</f>
        <v>4987</v>
      </c>
      <c r="T9" s="82">
        <f>'GF14000'!Q35</f>
        <v>3265</v>
      </c>
      <c r="U9" s="126">
        <f>(Q9-O9)/O9</f>
        <v>-0.1636181408168379</v>
      </c>
      <c r="V9" s="82">
        <f>'GF14000'!Q36</f>
        <v>300</v>
      </c>
      <c r="W9" s="90">
        <f t="shared" si="1"/>
        <v>-0.17865196692558255</v>
      </c>
      <c r="X9" s="98">
        <f t="shared" si="2"/>
        <v>0.0015471743915960118</v>
      </c>
      <c r="Y9" s="98">
        <f t="shared" si="3"/>
        <v>0.001804120572710654</v>
      </c>
    </row>
    <row r="10" spans="1:25" ht="12.75">
      <c r="A10" t="s">
        <v>419</v>
      </c>
      <c r="B10" s="11">
        <v>14100</v>
      </c>
      <c r="C10" s="2">
        <v>35577</v>
      </c>
      <c r="D10" s="2">
        <v>36084</v>
      </c>
      <c r="E10" s="2">
        <v>36095</v>
      </c>
      <c r="F10" s="2">
        <v>36506</v>
      </c>
      <c r="G10" s="2">
        <v>32351</v>
      </c>
      <c r="H10" s="2">
        <v>37611</v>
      </c>
      <c r="I10" s="2">
        <v>32749</v>
      </c>
      <c r="J10" s="2">
        <v>37396</v>
      </c>
      <c r="K10" s="2">
        <v>44368</v>
      </c>
      <c r="L10" s="2">
        <v>47976</v>
      </c>
      <c r="M10" s="2">
        <f>'GF14100'!M34</f>
        <v>23494.4</v>
      </c>
      <c r="N10" s="2">
        <f>'GF14100'!N34</f>
        <v>40803.795</v>
      </c>
      <c r="O10" s="2">
        <f>'GF14100'!O34</f>
        <v>39512.680728</v>
      </c>
      <c r="P10" s="2">
        <f>'GF14100'!P34</f>
        <v>56514.326</v>
      </c>
      <c r="Q10" s="2">
        <f>'GF14100'!Q34</f>
        <v>28735.297339999997</v>
      </c>
      <c r="R10" s="2">
        <f>'GF14100'!R34</f>
        <v>33551.746</v>
      </c>
      <c r="S10" s="82">
        <f>'GF14100'!Q36</f>
        <v>27779.028660000004</v>
      </c>
      <c r="T10" s="82">
        <f>'GF14100'!Q37</f>
        <v>10777.383388000002</v>
      </c>
      <c r="U10" s="126">
        <f>(Q10-O10)/O10</f>
        <v>-0.2727575853987247</v>
      </c>
      <c r="V10" s="82">
        <f>'GF14100'!Q38</f>
        <v>-4816.448660000002</v>
      </c>
      <c r="W10" s="90">
        <f t="shared" si="1"/>
        <v>-0.15086130877918094</v>
      </c>
      <c r="X10" s="98">
        <f t="shared" si="2"/>
        <v>0.0026637816764137202</v>
      </c>
      <c r="Y10" s="98">
        <f t="shared" si="3"/>
        <v>0.0036931906777890417</v>
      </c>
    </row>
    <row r="11" spans="1:25" ht="12.75">
      <c r="A11" t="s">
        <v>156</v>
      </c>
      <c r="B11" s="11">
        <v>15300</v>
      </c>
      <c r="C11" s="2">
        <v>85176</v>
      </c>
      <c r="D11" s="2">
        <v>74778</v>
      </c>
      <c r="E11" s="2">
        <v>61939</v>
      </c>
      <c r="F11" s="2">
        <v>57048</v>
      </c>
      <c r="G11" s="2">
        <v>68499</v>
      </c>
      <c r="H11" s="2">
        <v>73693</v>
      </c>
      <c r="I11" s="2">
        <v>73151</v>
      </c>
      <c r="J11" s="2">
        <v>54328</v>
      </c>
      <c r="K11" s="2">
        <v>93011</v>
      </c>
      <c r="L11" s="2">
        <v>59429</v>
      </c>
      <c r="M11" s="2">
        <f>'GF15300'!M10</f>
        <v>55970</v>
      </c>
      <c r="N11" s="2">
        <f>'GF15300'!N10</f>
        <v>67164</v>
      </c>
      <c r="O11" s="2">
        <f>'GF15300'!O10</f>
        <v>60000</v>
      </c>
      <c r="P11" s="2">
        <f>'GF15300'!P10</f>
        <v>60000</v>
      </c>
      <c r="Q11" s="2">
        <f>'GF15300'!Q10</f>
        <v>60000</v>
      </c>
      <c r="R11" s="2">
        <f>'GF15300'!R10</f>
        <v>60000</v>
      </c>
      <c r="S11" s="82">
        <f>'GF15300'!Q12</f>
        <v>0</v>
      </c>
      <c r="T11" s="82">
        <f>'GF15300'!Q13</f>
        <v>0</v>
      </c>
      <c r="U11" s="126">
        <f t="shared" si="0"/>
        <v>0</v>
      </c>
      <c r="V11" s="82">
        <f>'GF15300'!Q14</f>
        <v>0</v>
      </c>
      <c r="W11" s="90">
        <f t="shared" si="1"/>
        <v>0</v>
      </c>
      <c r="X11" s="98">
        <f t="shared" si="2"/>
        <v>0.005562040952412265</v>
      </c>
      <c r="Y11" s="98">
        <f t="shared" si="3"/>
        <v>0.006604468234450228</v>
      </c>
    </row>
    <row r="12" spans="1:25" ht="12.75">
      <c r="A12" t="s">
        <v>158</v>
      </c>
      <c r="B12" s="11">
        <v>15450</v>
      </c>
      <c r="C12" s="2">
        <v>149863</v>
      </c>
      <c r="D12" s="2">
        <v>185873</v>
      </c>
      <c r="E12" s="2">
        <v>193528</v>
      </c>
      <c r="F12" s="2">
        <v>210806</v>
      </c>
      <c r="G12" s="2">
        <v>222132</v>
      </c>
      <c r="H12" s="2">
        <v>217854</v>
      </c>
      <c r="I12" s="2">
        <v>210945</v>
      </c>
      <c r="J12" s="2">
        <v>234447</v>
      </c>
      <c r="K12" s="2">
        <v>256927</v>
      </c>
      <c r="L12" s="2">
        <v>229705</v>
      </c>
      <c r="M12" s="2">
        <f>'GF15450'!M41</f>
        <v>112591.31999999999</v>
      </c>
      <c r="N12" s="2">
        <f>'GF15450'!N41</f>
        <v>214413.19967</v>
      </c>
      <c r="O12" s="2">
        <f>'GF15450'!O41</f>
        <v>248543.389955</v>
      </c>
      <c r="P12" s="2">
        <f>'GF15450'!P41</f>
        <v>257531.3705</v>
      </c>
      <c r="Q12" s="2">
        <f>'GF15450'!Q41</f>
        <v>244820.41356000002</v>
      </c>
      <c r="R12" s="2">
        <f>'GF15450'!R41</f>
        <v>245620.41356000002</v>
      </c>
      <c r="S12" s="82">
        <f>'GF15450'!Q43</f>
        <v>12710.956939999975</v>
      </c>
      <c r="T12" s="82">
        <f>'GF15450'!Q44</f>
        <v>3722.976394999976</v>
      </c>
      <c r="U12" s="126">
        <f t="shared" si="0"/>
        <v>-0.014979180881350493</v>
      </c>
      <c r="V12" s="82">
        <f>'GF15450'!Q45</f>
        <v>-800</v>
      </c>
      <c r="W12" s="90">
        <f t="shared" si="1"/>
        <v>-0.011760427004432488</v>
      </c>
      <c r="X12" s="98">
        <f t="shared" si="2"/>
        <v>0.022695019436787117</v>
      </c>
      <c r="Y12" s="98">
        <f t="shared" si="3"/>
        <v>0.027036536984825804</v>
      </c>
    </row>
    <row r="13" spans="1:25" ht="12.75">
      <c r="A13" t="s">
        <v>183</v>
      </c>
      <c r="B13" s="11">
        <v>15500</v>
      </c>
      <c r="C13" s="2">
        <v>158133</v>
      </c>
      <c r="D13" s="2">
        <v>222316</v>
      </c>
      <c r="E13" s="2">
        <v>233762</v>
      </c>
      <c r="F13" s="2">
        <v>278053</v>
      </c>
      <c r="G13" s="2">
        <v>231817</v>
      </c>
      <c r="H13" s="2">
        <v>240647</v>
      </c>
      <c r="I13" s="2">
        <v>259646</v>
      </c>
      <c r="J13" s="2">
        <v>249921</v>
      </c>
      <c r="K13" s="2">
        <v>263070</v>
      </c>
      <c r="L13" s="2">
        <v>420252</v>
      </c>
      <c r="M13" s="2">
        <f>'GF15500'!M65</f>
        <v>711279.64</v>
      </c>
      <c r="N13" s="2">
        <f>'GF15500'!N65</f>
        <v>877656.3164</v>
      </c>
      <c r="O13" s="2">
        <f>'GF15500'!O65</f>
        <v>906250.4058325</v>
      </c>
      <c r="P13" s="20">
        <f>'GF15500'!P65</f>
        <v>981562.5</v>
      </c>
      <c r="Q13" s="2">
        <f>'GF15500'!Q65</f>
        <v>825318.15674</v>
      </c>
      <c r="R13" s="2">
        <f>'GF15500'!R65</f>
        <v>825318.15674</v>
      </c>
      <c r="S13" s="82">
        <f>'GF15500'!Q67</f>
        <v>156244.34326</v>
      </c>
      <c r="T13" s="82">
        <f>'GF15500'!Q68</f>
        <v>80932.24909249996</v>
      </c>
      <c r="U13" s="126">
        <f t="shared" si="0"/>
        <v>-0.08930451073084371</v>
      </c>
      <c r="V13" s="82">
        <f>'GF15500'!Q69</f>
        <v>0</v>
      </c>
      <c r="W13" s="90">
        <f t="shared" si="1"/>
        <v>-0.08930451073084371</v>
      </c>
      <c r="X13" s="98">
        <f t="shared" si="2"/>
        <v>0.07650755644262142</v>
      </c>
      <c r="Y13" s="98">
        <f t="shared" si="3"/>
        <v>0.09084645915840574</v>
      </c>
    </row>
    <row r="14" spans="1:25" ht="12.75">
      <c r="A14" t="s">
        <v>194</v>
      </c>
      <c r="B14" s="11">
        <v>15550</v>
      </c>
      <c r="C14" s="2">
        <v>173041</v>
      </c>
      <c r="D14" s="2">
        <v>178636</v>
      </c>
      <c r="E14" s="2">
        <v>203442</v>
      </c>
      <c r="F14" s="2">
        <v>215708</v>
      </c>
      <c r="G14" s="2">
        <v>265713</v>
      </c>
      <c r="H14" s="2">
        <v>276152</v>
      </c>
      <c r="I14" s="2">
        <v>446269</v>
      </c>
      <c r="J14" s="2">
        <v>435633</v>
      </c>
      <c r="K14" s="2">
        <v>346273</v>
      </c>
      <c r="L14" s="2">
        <v>309495</v>
      </c>
      <c r="M14" s="2">
        <f>'GF15550'!M20</f>
        <v>415764</v>
      </c>
      <c r="N14" s="2">
        <f>'GF15550'!N20</f>
        <v>418766</v>
      </c>
      <c r="O14" s="2">
        <f>'GF15550'!O20</f>
        <v>445000</v>
      </c>
      <c r="P14" s="2">
        <f>'GF15550'!P20</f>
        <v>297000</v>
      </c>
      <c r="Q14" s="2">
        <f>'GF15550'!Q20</f>
        <v>297000</v>
      </c>
      <c r="R14" s="2">
        <f>'GF15550'!R20</f>
        <v>297000</v>
      </c>
      <c r="S14" s="82">
        <f>'GF15550'!Q22</f>
        <v>0</v>
      </c>
      <c r="T14" s="82">
        <f>'GF15550'!Q23</f>
        <v>148000</v>
      </c>
      <c r="U14" s="126">
        <f t="shared" si="0"/>
        <v>-0.3325842696629214</v>
      </c>
      <c r="V14" s="82">
        <f>'GF15550'!Q24</f>
        <v>0</v>
      </c>
      <c r="W14" s="90">
        <f t="shared" si="1"/>
        <v>-0.3325842696629214</v>
      </c>
      <c r="X14" s="98">
        <f t="shared" si="2"/>
        <v>0.02753210271444071</v>
      </c>
      <c r="Y14" s="98">
        <f t="shared" si="3"/>
        <v>0.03269211776052863</v>
      </c>
    </row>
    <row r="15" spans="1:25" ht="12.75">
      <c r="A15" t="s">
        <v>353</v>
      </c>
      <c r="B15" s="11">
        <v>15600</v>
      </c>
      <c r="C15" s="2">
        <v>35584</v>
      </c>
      <c r="D15" s="2">
        <v>47933</v>
      </c>
      <c r="E15" s="2">
        <v>44439</v>
      </c>
      <c r="F15" s="2">
        <v>48404</v>
      </c>
      <c r="G15" s="2">
        <v>57113</v>
      </c>
      <c r="H15" s="2">
        <v>47704</v>
      </c>
      <c r="I15" s="2">
        <v>33528</v>
      </c>
      <c r="J15" s="2">
        <v>37633</v>
      </c>
      <c r="K15" s="2">
        <v>41914</v>
      </c>
      <c r="L15" s="2">
        <v>41858</v>
      </c>
      <c r="M15" s="2">
        <f>'GF15600'!M9</f>
        <v>38307</v>
      </c>
      <c r="N15" s="2">
        <f>'GF15600'!N9</f>
        <v>39000</v>
      </c>
      <c r="O15" s="2">
        <f>'GF15600'!O9</f>
        <v>42000</v>
      </c>
      <c r="P15" s="2">
        <f>'GF15600'!P9</f>
        <v>42000</v>
      </c>
      <c r="Q15" s="2">
        <f>'GF15600'!Q9</f>
        <v>42000</v>
      </c>
      <c r="R15" s="2">
        <f>'GF15600'!R9</f>
        <v>42000</v>
      </c>
      <c r="S15" s="82">
        <f>'GF15600'!Q11</f>
        <v>0</v>
      </c>
      <c r="T15" s="82">
        <f>'GF15600'!Q12</f>
        <v>0</v>
      </c>
      <c r="U15" s="126">
        <f t="shared" si="0"/>
        <v>0</v>
      </c>
      <c r="V15" s="82">
        <f>'GF15600'!Q11</f>
        <v>0</v>
      </c>
      <c r="W15" s="90">
        <f t="shared" si="1"/>
        <v>0</v>
      </c>
      <c r="X15" s="98">
        <f t="shared" si="2"/>
        <v>0.0038934286666885854</v>
      </c>
      <c r="Y15" s="98">
        <f t="shared" si="3"/>
        <v>0.0046231277641151595</v>
      </c>
    </row>
    <row r="16" spans="1:25" ht="12.75">
      <c r="A16" t="s">
        <v>195</v>
      </c>
      <c r="B16" s="11">
        <v>15650</v>
      </c>
      <c r="C16" s="2">
        <v>53061</v>
      </c>
      <c r="D16" s="2">
        <v>55005</v>
      </c>
      <c r="E16" s="2">
        <v>58719</v>
      </c>
      <c r="F16" s="2">
        <v>75545</v>
      </c>
      <c r="G16" s="2">
        <v>105675</v>
      </c>
      <c r="H16" s="2">
        <v>111178</v>
      </c>
      <c r="I16" s="2">
        <v>166930</v>
      </c>
      <c r="J16" s="2">
        <v>236975</v>
      </c>
      <c r="K16" s="2">
        <v>606818</v>
      </c>
      <c r="L16" s="2">
        <v>462487</v>
      </c>
      <c r="M16" s="2">
        <f>'GF15650'!M38</f>
        <v>623630</v>
      </c>
      <c r="N16" s="2">
        <f>'GF15650'!N38</f>
        <v>744983.4</v>
      </c>
      <c r="O16" s="2">
        <f>'GF15650'!O38</f>
        <v>1353400</v>
      </c>
      <c r="P16" s="2">
        <f>'GF15650'!P38</f>
        <v>403400</v>
      </c>
      <c r="Q16" s="2">
        <f>'GF15650'!Q38</f>
        <v>403400</v>
      </c>
      <c r="R16" s="2">
        <f>'GF15650'!R38</f>
        <v>103400</v>
      </c>
      <c r="S16" s="82">
        <f>'GF15650'!Q40</f>
        <v>0</v>
      </c>
      <c r="T16" s="82">
        <f>'GF15650'!Q41</f>
        <v>950000</v>
      </c>
      <c r="U16" s="126">
        <f t="shared" si="0"/>
        <v>-0.7019358652283139</v>
      </c>
      <c r="V16" s="82">
        <f>'GF15650'!Q42</f>
        <v>300000</v>
      </c>
      <c r="W16" s="90">
        <f t="shared" si="1"/>
        <v>-0.923599822668834</v>
      </c>
      <c r="X16" s="98">
        <f t="shared" si="2"/>
        <v>0.03739545533671846</v>
      </c>
      <c r="Y16" s="98">
        <f t="shared" si="3"/>
        <v>0.011381700257369226</v>
      </c>
    </row>
    <row r="17" spans="1:25" ht="12.75">
      <c r="A17" t="s">
        <v>202</v>
      </c>
      <c r="B17" s="11">
        <v>15950</v>
      </c>
      <c r="C17" s="2">
        <v>17971</v>
      </c>
      <c r="D17" s="2">
        <v>23581</v>
      </c>
      <c r="E17" s="2">
        <v>18935</v>
      </c>
      <c r="F17" s="2">
        <v>25342</v>
      </c>
      <c r="G17" s="2">
        <v>21363</v>
      </c>
      <c r="H17" s="2">
        <v>21460</v>
      </c>
      <c r="I17" s="2">
        <v>3495</v>
      </c>
      <c r="J17" s="2">
        <v>3495</v>
      </c>
      <c r="K17" s="2">
        <v>3945</v>
      </c>
      <c r="L17" s="2">
        <v>4245</v>
      </c>
      <c r="M17" s="2">
        <f>'GF15950'!M13</f>
        <v>3745</v>
      </c>
      <c r="N17" s="2">
        <f>'GF15950'!N13</f>
        <v>3745</v>
      </c>
      <c r="O17" s="2">
        <f>'GF15950'!O13</f>
        <v>3750</v>
      </c>
      <c r="P17" s="2">
        <f>'GF15950'!P13</f>
        <v>4750</v>
      </c>
      <c r="Q17" s="2">
        <f>'GF15950'!Q13</f>
        <v>3750</v>
      </c>
      <c r="R17" s="2">
        <f>'GF15950'!R13</f>
        <v>4750</v>
      </c>
      <c r="S17" s="82">
        <f>'GF15950'!Q15</f>
        <v>1000</v>
      </c>
      <c r="T17" s="82">
        <f>'GF15950'!Q16</f>
        <v>0</v>
      </c>
      <c r="U17" s="126">
        <f t="shared" si="0"/>
        <v>0</v>
      </c>
      <c r="V17" s="86">
        <f>'GF15950'!Q17</f>
        <v>-1000</v>
      </c>
      <c r="W17" s="90">
        <f t="shared" si="1"/>
        <v>0.26666666666666666</v>
      </c>
      <c r="X17" s="98">
        <f t="shared" si="2"/>
        <v>0.0003476275595257666</v>
      </c>
      <c r="Y17" s="98">
        <f t="shared" si="3"/>
        <v>0.0005228537352273097</v>
      </c>
    </row>
    <row r="18" spans="1:25" ht="12.75">
      <c r="A18" t="s">
        <v>204</v>
      </c>
      <c r="B18" s="11">
        <v>21500</v>
      </c>
      <c r="C18" s="2">
        <v>82518</v>
      </c>
      <c r="D18" s="2">
        <v>100517</v>
      </c>
      <c r="E18" s="2">
        <v>123167</v>
      </c>
      <c r="F18" s="2">
        <v>124311</v>
      </c>
      <c r="G18" s="2">
        <v>99128</v>
      </c>
      <c r="H18" s="2">
        <v>107248</v>
      </c>
      <c r="I18" s="2">
        <v>115740</v>
      </c>
      <c r="J18" s="2">
        <v>124035</v>
      </c>
      <c r="K18" s="2">
        <v>116502</v>
      </c>
      <c r="L18" s="2">
        <v>126972</v>
      </c>
      <c r="M18" s="2">
        <f>'GF21500'!M27</f>
        <v>134496</v>
      </c>
      <c r="N18" s="2">
        <f>'GF21500'!N27</f>
        <v>163702</v>
      </c>
      <c r="O18" s="2">
        <f>'GF21500'!O27</f>
        <v>101765.995</v>
      </c>
      <c r="P18" s="2">
        <f>'GF21500'!P27</f>
        <v>143316</v>
      </c>
      <c r="Q18" s="2">
        <f>'GF21500'!Q27</f>
        <v>130457</v>
      </c>
      <c r="R18" s="2">
        <f>'GF21500'!R27</f>
        <v>131057</v>
      </c>
      <c r="S18" s="82">
        <f>'GF21500'!Q29</f>
        <v>12859</v>
      </c>
      <c r="T18" s="82">
        <f>'GF21500'!Q30</f>
        <v>-28691.005000000005</v>
      </c>
      <c r="U18" s="126">
        <f t="shared" si="0"/>
        <v>0.2819311598142386</v>
      </c>
      <c r="V18" s="82">
        <f>'GF21500'!Q31</f>
        <v>-600</v>
      </c>
      <c r="W18" s="90">
        <f>(R18-O18)/O18</f>
        <v>0.2878270388846491</v>
      </c>
      <c r="X18" s="98">
        <f t="shared" si="2"/>
        <v>0.012093452942147448</v>
      </c>
      <c r="Y18" s="98">
        <f t="shared" si="3"/>
        <v>0.01442602989003906</v>
      </c>
    </row>
    <row r="19" spans="1:25" ht="12.75">
      <c r="A19" t="s">
        <v>210</v>
      </c>
      <c r="B19" s="11">
        <v>21800</v>
      </c>
      <c r="C19" s="2">
        <v>173186</v>
      </c>
      <c r="D19" s="2">
        <v>177861</v>
      </c>
      <c r="E19" s="2">
        <v>186967</v>
      </c>
      <c r="F19" s="2">
        <v>207253</v>
      </c>
      <c r="G19" s="2">
        <v>221674</v>
      </c>
      <c r="H19" s="2">
        <v>225575</v>
      </c>
      <c r="I19" s="2">
        <v>279378</v>
      </c>
      <c r="J19" s="2">
        <v>270720</v>
      </c>
      <c r="K19" s="2">
        <v>286151</v>
      </c>
      <c r="L19" s="2">
        <v>295695</v>
      </c>
      <c r="M19" s="2">
        <f>'GF21800'!M42</f>
        <v>216582.16</v>
      </c>
      <c r="N19" s="2">
        <f>'GF21800'!N42</f>
        <v>260771.19999999998</v>
      </c>
      <c r="O19" s="2">
        <f>'GF21800'!O42</f>
        <v>250481.25432390935</v>
      </c>
      <c r="P19" s="2">
        <f>'GF21800'!P42</f>
        <v>259558.39</v>
      </c>
      <c r="Q19" s="2">
        <f>'GF21800'!Q42</f>
        <v>247358.51918</v>
      </c>
      <c r="R19" s="2">
        <f>'GF21800'!R42</f>
        <v>249858.51918</v>
      </c>
      <c r="S19" s="82">
        <f>'GF21800'!Q44</f>
        <v>12199.870820000011</v>
      </c>
      <c r="T19" s="82">
        <f>'GF21800'!Q45</f>
        <v>3122.7351439093472</v>
      </c>
      <c r="U19" s="126">
        <f t="shared" si="0"/>
        <v>-0.01246694149763075</v>
      </c>
      <c r="V19" s="82">
        <f>'GF21800'!Q46</f>
        <v>-2500</v>
      </c>
      <c r="W19" s="90">
        <f t="shared" si="1"/>
        <v>-0.0024861546848693856</v>
      </c>
      <c r="X19" s="98">
        <f t="shared" si="2"/>
        <v>0.022930303560120244</v>
      </c>
      <c r="Y19" s="98">
        <f t="shared" si="3"/>
        <v>0.02750304421718472</v>
      </c>
    </row>
    <row r="20" spans="1:25" ht="12.75">
      <c r="A20" t="s">
        <v>214</v>
      </c>
      <c r="B20" s="11">
        <v>22000</v>
      </c>
      <c r="C20" s="2">
        <v>7071</v>
      </c>
      <c r="D20" s="2">
        <v>7908</v>
      </c>
      <c r="E20" s="2">
        <v>7908</v>
      </c>
      <c r="F20" s="2">
        <v>6620</v>
      </c>
      <c r="G20" s="2">
        <v>6588</v>
      </c>
      <c r="H20" s="2">
        <v>6503</v>
      </c>
      <c r="I20" s="2">
        <v>6459</v>
      </c>
      <c r="J20" s="2">
        <v>7715</v>
      </c>
      <c r="K20" s="2">
        <v>7900</v>
      </c>
      <c r="L20" s="2">
        <v>10013</v>
      </c>
      <c r="M20" s="2">
        <f>'GF22000'!M14</f>
        <v>7177</v>
      </c>
      <c r="N20" s="2">
        <f>'GF22000'!N14</f>
        <v>9296.4</v>
      </c>
      <c r="O20" s="2">
        <f>'GF22000'!O14</f>
        <v>8740</v>
      </c>
      <c r="P20" s="2">
        <f>'GF22000'!P14</f>
        <v>12656</v>
      </c>
      <c r="Q20" s="2">
        <f>'GF22000'!Q14</f>
        <v>8740</v>
      </c>
      <c r="R20" s="2">
        <f>'GF22000'!R14</f>
        <v>8740</v>
      </c>
      <c r="S20" s="82">
        <f>'GF22000'!Q16</f>
        <v>3916</v>
      </c>
      <c r="T20" s="82">
        <f>'GF22000'!Q17</f>
        <v>0</v>
      </c>
      <c r="U20" s="126">
        <f t="shared" si="0"/>
        <v>0</v>
      </c>
      <c r="V20" s="82">
        <f>'GF22000'!Q18</f>
        <v>0</v>
      </c>
      <c r="W20" s="90">
        <f t="shared" si="1"/>
        <v>0</v>
      </c>
      <c r="X20" s="98">
        <f t="shared" si="2"/>
        <v>0.0008102039654013866</v>
      </c>
      <c r="Y20" s="98">
        <f t="shared" si="3"/>
        <v>0.0009620508728182499</v>
      </c>
    </row>
    <row r="21" spans="1:25" ht="12.75">
      <c r="A21" s="33" t="s">
        <v>215</v>
      </c>
      <c r="B21" s="11">
        <v>24000</v>
      </c>
      <c r="C21" s="2">
        <v>99662</v>
      </c>
      <c r="D21" s="2">
        <v>109429</v>
      </c>
      <c r="E21" s="2">
        <v>115436</v>
      </c>
      <c r="F21" s="2">
        <v>126753</v>
      </c>
      <c r="G21" s="2">
        <v>131643</v>
      </c>
      <c r="H21" s="2">
        <v>133436</v>
      </c>
      <c r="I21" s="2">
        <v>146898</v>
      </c>
      <c r="J21" s="2">
        <v>153640</v>
      </c>
      <c r="K21" s="2">
        <v>171119</v>
      </c>
      <c r="L21" s="2">
        <v>185075</v>
      </c>
      <c r="M21" s="2">
        <f>'GF24000'!M30</f>
        <v>91870.03000000001</v>
      </c>
      <c r="N21" s="2">
        <f>'GF24000'!N30</f>
        <v>182099.36000000002</v>
      </c>
      <c r="O21" s="2">
        <f>'GF24000'!O30</f>
        <v>197791.74773499998</v>
      </c>
      <c r="P21" s="2">
        <f>'GF24000'!P30</f>
        <v>204098</v>
      </c>
      <c r="Q21" s="2">
        <f>'GF24000'!Q30</f>
        <v>201153.11354</v>
      </c>
      <c r="R21" s="2">
        <f>'GF24000'!R30</f>
        <v>203458.11354</v>
      </c>
      <c r="S21" s="82">
        <f>'GF24000'!Q32</f>
        <v>2944.886460000009</v>
      </c>
      <c r="T21" s="82">
        <f>'GF24000'!Q33</f>
        <v>-3361.3658050000085</v>
      </c>
      <c r="U21" s="126">
        <f t="shared" si="0"/>
        <v>0.016994469402755584</v>
      </c>
      <c r="V21" s="82">
        <f>'GF24000'!Q34</f>
        <v>-2305</v>
      </c>
      <c r="W21" s="90">
        <f t="shared" si="1"/>
        <v>0.028648140632195465</v>
      </c>
      <c r="X21" s="98">
        <f t="shared" si="2"/>
        <v>0.018647030920245233</v>
      </c>
      <c r="Y21" s="98">
        <f t="shared" si="3"/>
        <v>0.022395544131934963</v>
      </c>
    </row>
    <row r="22" spans="1:25" ht="12.75">
      <c r="A22" t="s">
        <v>217</v>
      </c>
      <c r="B22" s="11">
        <v>24500</v>
      </c>
      <c r="C22" s="2">
        <v>110548</v>
      </c>
      <c r="D22" s="2">
        <v>115144</v>
      </c>
      <c r="E22" s="2">
        <v>124280</v>
      </c>
      <c r="F22" s="2">
        <v>145209</v>
      </c>
      <c r="G22" s="2">
        <v>147557</v>
      </c>
      <c r="H22" s="2">
        <v>153657</v>
      </c>
      <c r="I22" s="2">
        <v>166308</v>
      </c>
      <c r="J22" s="2">
        <v>192218</v>
      </c>
      <c r="K22" s="2">
        <v>208771</v>
      </c>
      <c r="L22" s="2">
        <v>221746</v>
      </c>
      <c r="M22" s="2">
        <f>'GF24500'!M34</f>
        <v>114215.78000000003</v>
      </c>
      <c r="N22" s="2">
        <f>'GF24500'!N34</f>
        <v>230480.80000000005</v>
      </c>
      <c r="O22" s="2">
        <f>'GF24500'!O34</f>
        <v>243167.99452</v>
      </c>
      <c r="P22" s="2">
        <f>'GF24500'!P34</f>
        <v>257206.215</v>
      </c>
      <c r="Q22" s="2">
        <f>'GF24500'!Q34</f>
        <v>250443.08582</v>
      </c>
      <c r="R22" s="2">
        <f>'GF24500'!R34</f>
        <v>254227.08582</v>
      </c>
      <c r="S22" s="82">
        <f>'GF24500'!Q36</f>
        <v>6763.129179999989</v>
      </c>
      <c r="T22" s="82">
        <f>'GF24500'!Q37</f>
        <v>-7275.0913</v>
      </c>
      <c r="U22" s="126">
        <f>(Q22-O22)/O22</f>
        <v>0.029917963975319296</v>
      </c>
      <c r="V22" s="82">
        <f>'GF24500'!Q38</f>
        <v>-3784</v>
      </c>
      <c r="W22" s="90">
        <f t="shared" si="1"/>
        <v>0.045479222386276726</v>
      </c>
      <c r="X22" s="98">
        <f t="shared" si="2"/>
        <v>0.02321624499298899</v>
      </c>
      <c r="Y22" s="98">
        <f t="shared" si="3"/>
        <v>0.027983911877250703</v>
      </c>
    </row>
    <row r="23" spans="1:25" ht="12.75">
      <c r="A23" t="s">
        <v>218</v>
      </c>
      <c r="B23" s="11">
        <v>26000</v>
      </c>
      <c r="C23" s="2">
        <v>3900</v>
      </c>
      <c r="D23" s="2">
        <v>975</v>
      </c>
      <c r="E23" s="2">
        <v>0</v>
      </c>
      <c r="F23" s="2">
        <v>59572</v>
      </c>
      <c r="G23" s="2">
        <v>63157</v>
      </c>
      <c r="H23" s="2">
        <v>62693</v>
      </c>
      <c r="I23" s="2">
        <v>57791</v>
      </c>
      <c r="J23" s="2">
        <v>63215</v>
      </c>
      <c r="K23" s="2">
        <v>58913</v>
      </c>
      <c r="L23" s="2">
        <v>58810</v>
      </c>
      <c r="M23" s="2">
        <f>'GF26000 legacy'!M14</f>
        <v>15890</v>
      </c>
      <c r="N23" s="2">
        <f>'GF26000 legacy'!N14</f>
        <v>15890</v>
      </c>
      <c r="O23" s="2">
        <f>'GF26000 legacy'!O14</f>
        <v>56716</v>
      </c>
      <c r="P23" s="2">
        <f>'GF26000 legacy'!P14</f>
        <v>0</v>
      </c>
      <c r="Q23" s="2">
        <f>'GF26000 legacy'!Q14</f>
        <v>0</v>
      </c>
      <c r="R23" s="2">
        <f>'GF26000 legacy'!R14</f>
        <v>0</v>
      </c>
      <c r="S23" s="82">
        <f>'GF26000 legacy'!Q16</f>
        <v>0</v>
      </c>
      <c r="T23" s="82">
        <f>'GF26000 legacy'!Q17</f>
        <v>56716</v>
      </c>
      <c r="U23" s="126">
        <f t="shared" si="0"/>
        <v>-1</v>
      </c>
      <c r="V23" s="82">
        <f>'GF26000 legacy'!Q18</f>
        <v>0</v>
      </c>
      <c r="W23" s="90">
        <f t="shared" si="1"/>
        <v>-1</v>
      </c>
      <c r="X23" s="98">
        <f t="shared" si="2"/>
        <v>0</v>
      </c>
      <c r="Y23" s="98">
        <f t="shared" si="3"/>
        <v>0</v>
      </c>
    </row>
    <row r="24" spans="1:25" ht="12.75">
      <c r="A24" t="s">
        <v>219</v>
      </c>
      <c r="B24" s="11">
        <v>27000</v>
      </c>
      <c r="C24" s="2">
        <v>39186</v>
      </c>
      <c r="D24" s="2">
        <v>81764</v>
      </c>
      <c r="E24" s="2">
        <v>29469</v>
      </c>
      <c r="F24" s="2">
        <v>56110</v>
      </c>
      <c r="G24" s="2">
        <v>48758</v>
      </c>
      <c r="H24" s="2">
        <v>52494</v>
      </c>
      <c r="I24" s="2">
        <v>37895</v>
      </c>
      <c r="J24" s="2">
        <v>67927</v>
      </c>
      <c r="K24" s="2">
        <v>42577</v>
      </c>
      <c r="L24" s="2">
        <v>52522</v>
      </c>
      <c r="M24" s="2">
        <f>'GF27000'!M21</f>
        <v>30689</v>
      </c>
      <c r="N24" s="2">
        <f>'GF27000'!N21</f>
        <v>35865.6</v>
      </c>
      <c r="O24" s="2">
        <f>'GF27000'!O21</f>
        <v>40948.3725</v>
      </c>
      <c r="P24" s="2">
        <f>'GF27000'!P21</f>
        <v>56350</v>
      </c>
      <c r="Q24" s="2">
        <f>'GF27000'!Q21</f>
        <v>50300</v>
      </c>
      <c r="R24" s="2">
        <f>'GF27000'!R21</f>
        <v>50300</v>
      </c>
      <c r="S24" s="82">
        <f>'GF27000'!Q23</f>
        <v>6050</v>
      </c>
      <c r="T24" s="82">
        <f>'GF27000'!Q24</f>
        <v>-9351.627500000002</v>
      </c>
      <c r="U24" s="126">
        <f t="shared" si="0"/>
        <v>0.22837604840094688</v>
      </c>
      <c r="V24" s="82">
        <f>'GF27000'!Q25</f>
        <v>0</v>
      </c>
      <c r="W24" s="90">
        <f t="shared" si="1"/>
        <v>0.22837604840094688</v>
      </c>
      <c r="X24" s="98">
        <f t="shared" si="2"/>
        <v>0.004662844331772283</v>
      </c>
      <c r="Y24" s="98">
        <f t="shared" si="3"/>
        <v>0.005536745869880774</v>
      </c>
    </row>
    <row r="25" spans="1:25" ht="12.75">
      <c r="A25" t="s">
        <v>878</v>
      </c>
      <c r="B25" s="11">
        <v>27500</v>
      </c>
      <c r="C25" s="2"/>
      <c r="D25" s="2"/>
      <c r="E25" s="2"/>
      <c r="F25" s="2"/>
      <c r="G25" s="2">
        <v>2241</v>
      </c>
      <c r="H25" s="2">
        <v>1490</v>
      </c>
      <c r="I25" s="2">
        <v>454</v>
      </c>
      <c r="J25" s="2">
        <v>1503</v>
      </c>
      <c r="K25" s="2">
        <v>805</v>
      </c>
      <c r="L25" s="2">
        <v>544</v>
      </c>
      <c r="M25" s="2">
        <f>'GF27500'!I10</f>
        <v>701</v>
      </c>
      <c r="N25" s="2">
        <f>'GF27500'!J10</f>
        <v>701</v>
      </c>
      <c r="O25" s="2">
        <f>'GF27500'!K10</f>
        <v>1400</v>
      </c>
      <c r="P25" s="2">
        <f>'GF27500'!L10</f>
        <v>1200</v>
      </c>
      <c r="Q25" s="2">
        <f>'GF27500'!M10</f>
        <v>1200</v>
      </c>
      <c r="R25" s="2">
        <f>'GF27500'!N10</f>
        <v>1200</v>
      </c>
      <c r="U25" s="126"/>
      <c r="W25" s="90"/>
      <c r="X25" s="98"/>
      <c r="Y25" s="98"/>
    </row>
    <row r="26" spans="1:25" ht="12.75">
      <c r="A26" t="s">
        <v>221</v>
      </c>
      <c r="B26" s="11">
        <v>28000</v>
      </c>
      <c r="C26" s="2">
        <v>43231</v>
      </c>
      <c r="D26" s="2">
        <v>44080</v>
      </c>
      <c r="E26" s="2">
        <v>43893</v>
      </c>
      <c r="F26" s="2">
        <v>57786</v>
      </c>
      <c r="G26" s="2">
        <v>51974</v>
      </c>
      <c r="H26" s="2">
        <v>51014</v>
      </c>
      <c r="I26" s="2">
        <v>50190</v>
      </c>
      <c r="J26" s="2">
        <v>36375</v>
      </c>
      <c r="K26" s="2">
        <v>48250</v>
      </c>
      <c r="L26" s="2">
        <v>67712</v>
      </c>
      <c r="M26" s="2">
        <f>'GF28000'!M11</f>
        <v>29208</v>
      </c>
      <c r="N26" s="2">
        <f>'GF28000'!N11</f>
        <v>61666</v>
      </c>
      <c r="O26" s="2">
        <f>'GF28000'!O11</f>
        <v>61666</v>
      </c>
      <c r="P26" s="2">
        <f>'GF28000'!P11</f>
        <v>71277</v>
      </c>
      <c r="Q26" s="2">
        <f>'GF28000'!Q11</f>
        <v>55495.2</v>
      </c>
      <c r="R26" s="2">
        <f>'GF28000'!R11</f>
        <v>71277</v>
      </c>
      <c r="S26" s="82">
        <f>'GF28000'!Q13</f>
        <v>15781.800000000003</v>
      </c>
      <c r="T26" s="82">
        <f>'GF28000'!Q14</f>
        <v>6170.800000000003</v>
      </c>
      <c r="U26" s="126">
        <f t="shared" si="0"/>
        <v>-0.10006810884441998</v>
      </c>
      <c r="V26" s="82">
        <f>'GF28000'!Q15</f>
        <v>-15781.800000000003</v>
      </c>
      <c r="W26" s="90">
        <f t="shared" si="1"/>
        <v>0.15585573898096194</v>
      </c>
      <c r="X26" s="98">
        <f t="shared" si="2"/>
        <v>0.005144442917705152</v>
      </c>
      <c r="Y26" s="98">
        <f t="shared" si="3"/>
        <v>0.007845778039115148</v>
      </c>
    </row>
    <row r="27" spans="1:25" ht="12.75">
      <c r="A27" t="s">
        <v>222</v>
      </c>
      <c r="B27" s="11">
        <v>28100</v>
      </c>
      <c r="C27" s="2">
        <v>2213</v>
      </c>
      <c r="D27" s="2">
        <v>4077</v>
      </c>
      <c r="E27" s="2">
        <v>447</v>
      </c>
      <c r="F27" s="2">
        <v>1342</v>
      </c>
      <c r="G27" s="2">
        <v>9723</v>
      </c>
      <c r="H27" s="2">
        <v>3862</v>
      </c>
      <c r="I27" s="2">
        <v>2462</v>
      </c>
      <c r="J27" s="2">
        <v>7550</v>
      </c>
      <c r="K27" s="2">
        <v>16307</v>
      </c>
      <c r="L27" s="2">
        <v>11865</v>
      </c>
      <c r="M27" s="2">
        <f>'GF28100'!M17</f>
        <v>5363</v>
      </c>
      <c r="N27" s="2">
        <f>'GF28100'!N17</f>
        <v>10726</v>
      </c>
      <c r="O27" s="2">
        <f>'GF28100'!O17</f>
        <v>10520</v>
      </c>
      <c r="P27" s="2">
        <f>'GF28100'!P17</f>
        <v>43683.714</v>
      </c>
      <c r="Q27" s="2">
        <f>'GF28100'!Q17</f>
        <v>11791</v>
      </c>
      <c r="R27" s="2">
        <f>'GF28100'!R17</f>
        <v>11791</v>
      </c>
      <c r="S27" s="82">
        <f>'GF28100'!Q19</f>
        <v>31892.714</v>
      </c>
      <c r="T27" s="82">
        <f>'GF28100'!Q20</f>
        <v>-1271</v>
      </c>
      <c r="U27" s="126">
        <f t="shared" si="0"/>
        <v>0.12081749049429658</v>
      </c>
      <c r="V27" s="82">
        <f>'GF28100'!Q21</f>
        <v>0</v>
      </c>
      <c r="W27" s="90">
        <f t="shared" si="1"/>
        <v>0.12081749049429658</v>
      </c>
      <c r="X27" s="98">
        <f t="shared" si="2"/>
        <v>0.0010930337478315504</v>
      </c>
      <c r="Y27" s="98">
        <f t="shared" si="3"/>
        <v>0.001297888082540044</v>
      </c>
    </row>
    <row r="28" spans="1:25" ht="12.75">
      <c r="A28" t="s">
        <v>695</v>
      </c>
      <c r="B28" s="11">
        <v>28110</v>
      </c>
      <c r="C28" s="2">
        <v>0</v>
      </c>
      <c r="D28" s="2">
        <v>0</v>
      </c>
      <c r="E28" s="2">
        <v>4539</v>
      </c>
      <c r="F28" s="2">
        <v>6051</v>
      </c>
      <c r="G28" s="2">
        <v>6050</v>
      </c>
      <c r="H28" s="2">
        <v>4538</v>
      </c>
      <c r="I28" s="2">
        <v>4538</v>
      </c>
      <c r="J28" s="2">
        <v>6050</v>
      </c>
      <c r="K28" s="2">
        <v>6050</v>
      </c>
      <c r="L28" s="2">
        <v>0</v>
      </c>
      <c r="M28" s="2">
        <f>'GF28110 legacy'!M10</f>
        <v>0</v>
      </c>
      <c r="N28" s="2">
        <f>'GF28110 legacy'!N10</f>
        <v>0</v>
      </c>
      <c r="O28" s="2">
        <f>'GF28110 legacy'!O10</f>
        <v>0</v>
      </c>
      <c r="P28" s="2">
        <f>'GF28110 legacy'!P10</f>
        <v>0</v>
      </c>
      <c r="Q28" s="2">
        <f>'GF28110 legacy'!Q10</f>
        <v>0</v>
      </c>
      <c r="R28" s="2">
        <f>'GF28110 legacy'!R10</f>
        <v>0</v>
      </c>
      <c r="S28" s="82">
        <f>'GF28110 legacy'!Q12</f>
        <v>0</v>
      </c>
      <c r="T28" s="82">
        <f>'GF28110 legacy'!Q13</f>
        <v>0</v>
      </c>
      <c r="U28" s="126" t="e">
        <f t="shared" si="0"/>
        <v>#DIV/0!</v>
      </c>
      <c r="V28" s="82">
        <f>'GF28110 legacy'!Q14</f>
        <v>0</v>
      </c>
      <c r="W28" s="90" t="e">
        <f t="shared" si="1"/>
        <v>#DIV/0!</v>
      </c>
      <c r="X28" s="98">
        <f t="shared" si="2"/>
        <v>0</v>
      </c>
      <c r="Y28" s="98">
        <f t="shared" si="3"/>
        <v>0</v>
      </c>
    </row>
    <row r="29" spans="1:25" ht="12.75">
      <c r="A29" t="s">
        <v>223</v>
      </c>
      <c r="B29" s="11">
        <v>33000</v>
      </c>
      <c r="C29" s="2">
        <v>874821</v>
      </c>
      <c r="D29" s="2">
        <v>975291</v>
      </c>
      <c r="E29" s="2">
        <v>996230</v>
      </c>
      <c r="F29" s="2">
        <v>1052328</v>
      </c>
      <c r="G29" s="2">
        <v>1095688</v>
      </c>
      <c r="H29" s="2">
        <v>1077882</v>
      </c>
      <c r="I29" s="2">
        <v>1254762</v>
      </c>
      <c r="J29" s="2">
        <v>1447823</v>
      </c>
      <c r="K29" s="2">
        <v>1458397</v>
      </c>
      <c r="L29" s="2">
        <v>1427620</v>
      </c>
      <c r="M29" s="2">
        <f>'GF33000'!M60</f>
        <v>1140317.67</v>
      </c>
      <c r="N29" s="2">
        <f>'GF33000'!N60</f>
        <v>1380250.004</v>
      </c>
      <c r="O29" s="2">
        <f>'GF33000'!O60</f>
        <v>1552950.838627862</v>
      </c>
      <c r="P29" s="2">
        <f>'GF33000'!P60</f>
        <v>1657081.8242549999</v>
      </c>
      <c r="Q29" s="2">
        <f>'GF33000'!Q60</f>
        <v>1625781.66278</v>
      </c>
      <c r="R29" s="2">
        <f>'GF33000'!R60</f>
        <v>1476481.66278</v>
      </c>
      <c r="S29" s="82">
        <f>'GF33000'!Q62</f>
        <v>31300.16147499997</v>
      </c>
      <c r="T29" s="82">
        <f>'GF33000'!Q63</f>
        <v>-72830.82415213785</v>
      </c>
      <c r="U29" s="126">
        <f t="shared" si="0"/>
        <v>0.04689834497046207</v>
      </c>
      <c r="V29" s="82">
        <f>'GF33000'!Q64</f>
        <v>149300</v>
      </c>
      <c r="W29" s="90">
        <f t="shared" si="1"/>
        <v>-0.0492412083794152</v>
      </c>
      <c r="X29" s="98">
        <f t="shared" si="2"/>
        <v>0.15071106980105445</v>
      </c>
      <c r="Y29" s="98">
        <f t="shared" si="3"/>
        <v>0.16252293734297937</v>
      </c>
    </row>
    <row r="30" spans="1:25" ht="12.75">
      <c r="A30" t="s">
        <v>234</v>
      </c>
      <c r="B30" s="11">
        <v>33260</v>
      </c>
      <c r="C30" s="2">
        <v>580676</v>
      </c>
      <c r="D30" s="2">
        <v>542746</v>
      </c>
      <c r="E30" s="2">
        <v>639988</v>
      </c>
      <c r="F30" s="2">
        <v>721590</v>
      </c>
      <c r="G30" s="2">
        <v>725984</v>
      </c>
      <c r="H30" s="2">
        <v>753980</v>
      </c>
      <c r="I30" s="2">
        <v>777429</v>
      </c>
      <c r="J30" s="2">
        <v>904417</v>
      </c>
      <c r="K30" s="2">
        <v>991311</v>
      </c>
      <c r="L30" s="2">
        <v>998072</v>
      </c>
      <c r="M30" s="2">
        <f>'GF33260'!M44</f>
        <v>789336.57</v>
      </c>
      <c r="N30" s="2">
        <f>'GF33260'!N44</f>
        <v>950531.884</v>
      </c>
      <c r="O30" s="2">
        <f>'GF33260'!O44</f>
        <v>938894.81633</v>
      </c>
      <c r="P30" s="2">
        <f>'GF33260'!P44</f>
        <v>1007590</v>
      </c>
      <c r="Q30" s="2">
        <f>'GF33260'!Q44</f>
        <v>979690.7494850002</v>
      </c>
      <c r="R30" s="2">
        <f>'GF33260'!R44</f>
        <v>979690.7494850002</v>
      </c>
      <c r="S30" s="82">
        <f>'GF33260'!Q46</f>
        <v>27899.250514999847</v>
      </c>
      <c r="T30" s="82">
        <f>'GF33260'!Q47</f>
        <v>-40795.93315500021</v>
      </c>
      <c r="U30" s="126">
        <f t="shared" si="0"/>
        <v>0.043451015433726044</v>
      </c>
      <c r="V30" s="82">
        <f>'GF33260'!Q48</f>
        <v>0</v>
      </c>
      <c r="W30" s="90">
        <f t="shared" si="1"/>
        <v>0.043451015433726044</v>
      </c>
      <c r="X30" s="98">
        <f t="shared" si="2"/>
        <v>0.09081800115558393</v>
      </c>
      <c r="Y30" s="98">
        <f t="shared" si="3"/>
        <v>0.10783894057597367</v>
      </c>
    </row>
    <row r="31" spans="1:25" ht="12.75">
      <c r="A31" t="s">
        <v>347</v>
      </c>
      <c r="B31" s="11">
        <v>34200</v>
      </c>
      <c r="C31" s="2">
        <v>0</v>
      </c>
      <c r="D31" s="2">
        <v>0</v>
      </c>
      <c r="E31" s="2">
        <v>0</v>
      </c>
      <c r="F31" s="2">
        <v>7898</v>
      </c>
      <c r="G31" s="2">
        <v>10278</v>
      </c>
      <c r="H31" s="2">
        <v>16538</v>
      </c>
      <c r="I31" s="2">
        <v>17931</v>
      </c>
      <c r="J31" s="2">
        <v>32461</v>
      </c>
      <c r="K31" s="2">
        <v>26774</v>
      </c>
      <c r="L31" s="2">
        <v>36968</v>
      </c>
      <c r="M31" s="2">
        <f>'GF34200'!L17</f>
        <v>14868</v>
      </c>
      <c r="N31" s="2">
        <f>'GF34200'!M17</f>
        <v>20000</v>
      </c>
      <c r="O31" s="2">
        <f>'GF34200'!N17</f>
        <v>30000</v>
      </c>
      <c r="P31" s="2">
        <f>'GF34200'!O17</f>
        <v>30000</v>
      </c>
      <c r="Q31" s="2">
        <f>'GF34200'!P17</f>
        <v>30000</v>
      </c>
      <c r="R31" s="2">
        <f>'GF34200'!Q17</f>
        <v>30000</v>
      </c>
      <c r="S31" s="82">
        <f>'GF34200'!P19</f>
        <v>0</v>
      </c>
      <c r="T31" s="82">
        <f>'GF34200'!P20</f>
        <v>0</v>
      </c>
      <c r="U31" s="126">
        <f t="shared" si="0"/>
        <v>0</v>
      </c>
      <c r="V31" s="82">
        <f>'GF34200'!P21</f>
        <v>0</v>
      </c>
      <c r="W31" s="90">
        <f t="shared" si="1"/>
        <v>0</v>
      </c>
      <c r="X31" s="98">
        <f t="shared" si="2"/>
        <v>0.0027810204762061326</v>
      </c>
      <c r="Y31" s="98">
        <f t="shared" si="3"/>
        <v>0.003302234117225114</v>
      </c>
    </row>
    <row r="32" spans="1:25" ht="12.75">
      <c r="A32" t="s">
        <v>244</v>
      </c>
      <c r="B32" s="11">
        <v>36000</v>
      </c>
      <c r="C32" s="2">
        <v>738226</v>
      </c>
      <c r="D32" s="2">
        <v>844120</v>
      </c>
      <c r="E32" s="2">
        <v>894600</v>
      </c>
      <c r="F32" s="2">
        <v>991800</v>
      </c>
      <c r="G32" s="2">
        <v>858911</v>
      </c>
      <c r="H32" s="2">
        <v>835838</v>
      </c>
      <c r="I32" s="2">
        <v>933437</v>
      </c>
      <c r="J32" s="2">
        <v>1325312</v>
      </c>
      <c r="K32" s="2">
        <v>1402333</v>
      </c>
      <c r="L32" s="2">
        <v>1643752</v>
      </c>
      <c r="M32" s="2">
        <f>'GF36000'!M56</f>
        <v>1270416.73</v>
      </c>
      <c r="N32" s="2">
        <f>'GF36000'!N56</f>
        <v>1520278.676</v>
      </c>
      <c r="O32" s="2">
        <f>'GF36000'!O56</f>
        <v>1571751.97403375</v>
      </c>
      <c r="P32" s="2">
        <f>'GF36000'!P56</f>
        <v>1712881.69</v>
      </c>
      <c r="Q32" s="2">
        <f>'GF36000'!Q56</f>
        <v>1706321.99142</v>
      </c>
      <c r="R32" s="2">
        <f>'GF36000'!R56</f>
        <v>1706321.99142</v>
      </c>
      <c r="S32" s="82">
        <f>'GF36000'!Q58</f>
        <v>6559.698579999851</v>
      </c>
      <c r="T32" s="82">
        <f>'GF36000'!Q59</f>
        <v>-134570.0173862502</v>
      </c>
      <c r="U32" s="126">
        <f t="shared" si="0"/>
        <v>0.08561784531492538</v>
      </c>
      <c r="V32" s="82">
        <f>'GF36000'!Q60</f>
        <v>0</v>
      </c>
      <c r="W32" s="90">
        <f t="shared" si="1"/>
        <v>0.08561784531492538</v>
      </c>
      <c r="X32" s="98">
        <f t="shared" si="2"/>
        <v>0.15817721323799483</v>
      </c>
      <c r="Y32" s="98">
        <f t="shared" si="3"/>
        <v>0.18782248983462074</v>
      </c>
    </row>
    <row r="33" spans="1:25" ht="12.75">
      <c r="A33" t="s">
        <v>247</v>
      </c>
      <c r="B33" s="11">
        <v>37000</v>
      </c>
      <c r="C33" s="2">
        <v>9300</v>
      </c>
      <c r="D33" s="2">
        <v>10985</v>
      </c>
      <c r="E33" s="2">
        <v>11930</v>
      </c>
      <c r="F33" s="2">
        <v>14303</v>
      </c>
      <c r="G33" s="2">
        <v>10672</v>
      </c>
      <c r="H33" s="2">
        <v>16461</v>
      </c>
      <c r="I33" s="2">
        <v>14950</v>
      </c>
      <c r="J33" s="2">
        <v>18403</v>
      </c>
      <c r="K33" s="2">
        <v>15312</v>
      </c>
      <c r="L33" s="2">
        <v>13765</v>
      </c>
      <c r="M33" s="2">
        <f>'GF37000'!M34</f>
        <v>11357.48</v>
      </c>
      <c r="N33" s="2">
        <f>'GF37000'!N34</f>
        <v>14607.984</v>
      </c>
      <c r="O33" s="2">
        <f>'GF37000'!O34</f>
        <v>16828.8</v>
      </c>
      <c r="P33" s="2">
        <f>'GF37000'!P34</f>
        <v>16970.2455</v>
      </c>
      <c r="Q33" s="2">
        <f>'GF37000'!Q34</f>
        <v>14495.74069</v>
      </c>
      <c r="R33" s="2">
        <f>'GF37000'!R34</f>
        <v>14295.74069</v>
      </c>
      <c r="S33" s="82">
        <f>'GF37000'!Q36</f>
        <v>2474.5048100000004</v>
      </c>
      <c r="T33" s="82">
        <f>'GF37000'!Q37</f>
        <v>2333.0593099999987</v>
      </c>
      <c r="U33" s="126">
        <f t="shared" si="0"/>
        <v>-0.138634918116562</v>
      </c>
      <c r="V33" s="82">
        <f>'GF37000'!Q38</f>
        <v>200</v>
      </c>
      <c r="W33" s="90">
        <f t="shared" si="1"/>
        <v>-0.15051930678360897</v>
      </c>
      <c r="X33" s="98">
        <f t="shared" si="2"/>
        <v>0.0013437650558888138</v>
      </c>
      <c r="Y33" s="98">
        <f t="shared" si="3"/>
        <v>0.0015735960879173765</v>
      </c>
    </row>
    <row r="34" spans="1:25" ht="12.75">
      <c r="A34" t="s">
        <v>250</v>
      </c>
      <c r="B34" s="11">
        <v>39100</v>
      </c>
      <c r="C34" s="2">
        <v>15000</v>
      </c>
      <c r="D34" s="2">
        <v>30000</v>
      </c>
      <c r="E34" s="2">
        <v>30000</v>
      </c>
      <c r="F34" s="2">
        <v>30000</v>
      </c>
      <c r="G34" s="2">
        <v>30000</v>
      </c>
      <c r="H34" s="2">
        <v>25000</v>
      </c>
      <c r="I34" s="2">
        <v>25000</v>
      </c>
      <c r="J34" s="2">
        <v>30000</v>
      </c>
      <c r="K34" s="2">
        <v>36000</v>
      </c>
      <c r="L34" s="2">
        <v>39000</v>
      </c>
      <c r="M34" s="2">
        <f>'GF39100'!M12</f>
        <v>29925</v>
      </c>
      <c r="N34" s="2">
        <f>'GF39100'!N12</f>
        <v>29925</v>
      </c>
      <c r="O34" s="2">
        <f>'GF39100'!O12</f>
        <v>49925</v>
      </c>
      <c r="P34" s="2">
        <f>'GF39100'!P12</f>
        <v>55000</v>
      </c>
      <c r="Q34" s="2">
        <f>'GF39100'!Q12</f>
        <v>49925</v>
      </c>
      <c r="R34" s="2">
        <f>'GF39100'!R12</f>
        <v>29925</v>
      </c>
      <c r="S34" s="82">
        <f>'GF39100'!Q14</f>
        <v>5075</v>
      </c>
      <c r="T34" s="82">
        <f>'GF39100'!Q15</f>
        <v>0</v>
      </c>
      <c r="U34" s="126">
        <f t="shared" si="0"/>
        <v>0</v>
      </c>
      <c r="V34" s="82">
        <f>'GF39100'!Q16</f>
        <v>20000</v>
      </c>
      <c r="W34" s="90">
        <f t="shared" si="1"/>
        <v>-0.400600901352028</v>
      </c>
      <c r="X34" s="98">
        <f t="shared" si="2"/>
        <v>0.004628081575819705</v>
      </c>
      <c r="Y34" s="98">
        <f t="shared" si="3"/>
        <v>0.0032939785319320513</v>
      </c>
    </row>
    <row r="35" spans="1:25" ht="12.75">
      <c r="A35" t="s">
        <v>251</v>
      </c>
      <c r="B35" s="11">
        <v>39200</v>
      </c>
      <c r="C35" s="2">
        <v>26050</v>
      </c>
      <c r="D35" s="2">
        <v>16085</v>
      </c>
      <c r="E35" s="2">
        <v>13612</v>
      </c>
      <c r="F35" s="2">
        <v>16334</v>
      </c>
      <c r="G35" s="2">
        <v>16290</v>
      </c>
      <c r="H35" s="2">
        <v>16890</v>
      </c>
      <c r="I35" s="2">
        <v>81532</v>
      </c>
      <c r="J35" s="2">
        <v>25689</v>
      </c>
      <c r="K35" s="2">
        <v>20498</v>
      </c>
      <c r="L35" s="2">
        <v>21898</v>
      </c>
      <c r="M35" s="2">
        <f>'GF39200'!M25</f>
        <v>18240</v>
      </c>
      <c r="N35" s="2">
        <f>'GF39200'!N25</f>
        <v>25875.600000000002</v>
      </c>
      <c r="O35" s="2">
        <f>'GF39200'!O25</f>
        <v>26804.7375</v>
      </c>
      <c r="P35" s="2">
        <f>'GF39200'!P25</f>
        <v>27334.458</v>
      </c>
      <c r="Q35" s="2">
        <f>'GF39200'!Q25</f>
        <v>26784.11352</v>
      </c>
      <c r="R35" s="2">
        <f>'GF39200'!R25</f>
        <v>26784.11352</v>
      </c>
      <c r="S35" s="82">
        <f>'GF39200'!Q27</f>
        <v>550.3444799999997</v>
      </c>
      <c r="T35" s="82">
        <f>'GF39200'!Q28</f>
        <v>20.6239800000003</v>
      </c>
      <c r="U35" s="126">
        <f t="shared" si="0"/>
        <v>-0.0007694154811253161</v>
      </c>
      <c r="V35" s="82">
        <f>'GF39200'!Q29</f>
        <v>0</v>
      </c>
      <c r="W35" s="90">
        <f t="shared" si="1"/>
        <v>-0.0007694154811253161</v>
      </c>
      <c r="X35" s="98">
        <f t="shared" si="2"/>
        <v>0.002482905604538317</v>
      </c>
      <c r="Y35" s="98">
        <f t="shared" si="3"/>
        <v>0.0029482471155124813</v>
      </c>
    </row>
    <row r="36" spans="1:25" ht="12.75">
      <c r="A36" t="s">
        <v>252</v>
      </c>
      <c r="B36" s="11">
        <v>41000</v>
      </c>
      <c r="C36" s="2">
        <v>72278</v>
      </c>
      <c r="D36" s="2">
        <v>106763</v>
      </c>
      <c r="E36" s="2">
        <v>85268</v>
      </c>
      <c r="F36" s="2">
        <v>127835</v>
      </c>
      <c r="G36" s="2">
        <v>117743</v>
      </c>
      <c r="H36" s="2">
        <v>28343</v>
      </c>
      <c r="I36" s="2">
        <v>23490</v>
      </c>
      <c r="J36" s="2">
        <v>29170</v>
      </c>
      <c r="K36" s="2">
        <v>188</v>
      </c>
      <c r="L36" s="2">
        <v>0</v>
      </c>
      <c r="M36" s="2">
        <f>'GF41000 legacy'!M37</f>
        <v>0</v>
      </c>
      <c r="N36" s="2">
        <f>'GF41000 legacy'!N37</f>
        <v>0</v>
      </c>
      <c r="O36" s="2">
        <f>'GF41000 legacy'!O37</f>
        <v>0</v>
      </c>
      <c r="P36" s="2">
        <f>'GF41000 legacy'!P37</f>
        <v>0</v>
      </c>
      <c r="Q36" s="2">
        <f>'GF41000 legacy'!Q37</f>
        <v>0</v>
      </c>
      <c r="R36" s="2">
        <f>'GF41000 legacy'!R37</f>
        <v>0</v>
      </c>
      <c r="S36" s="82">
        <f>'GF41000 legacy'!Q39</f>
        <v>0</v>
      </c>
      <c r="T36" s="82">
        <f>'GF41000 legacy'!Q40</f>
        <v>0</v>
      </c>
      <c r="U36" s="126" t="e">
        <f t="shared" si="0"/>
        <v>#DIV/0!</v>
      </c>
      <c r="V36" s="82">
        <f>'GF41000 legacy'!Q41</f>
        <v>0</v>
      </c>
      <c r="W36" s="90"/>
      <c r="X36" s="98">
        <f t="shared" si="2"/>
        <v>0</v>
      </c>
      <c r="Y36" s="98">
        <f t="shared" si="3"/>
        <v>0</v>
      </c>
    </row>
    <row r="37" spans="1:25" ht="12.75">
      <c r="A37" t="s">
        <v>257</v>
      </c>
      <c r="B37" s="11">
        <v>42000</v>
      </c>
      <c r="C37" s="2">
        <v>710157</v>
      </c>
      <c r="D37" s="2">
        <v>719391</v>
      </c>
      <c r="E37" s="2">
        <v>778382</v>
      </c>
      <c r="F37" s="2">
        <v>763060</v>
      </c>
      <c r="G37" s="2">
        <v>712171</v>
      </c>
      <c r="H37" s="2">
        <v>804566</v>
      </c>
      <c r="I37" s="2">
        <v>786916</v>
      </c>
      <c r="J37" s="2">
        <v>1139844</v>
      </c>
      <c r="K37" s="2">
        <v>1094040</v>
      </c>
      <c r="L37" s="2">
        <v>1221074</v>
      </c>
      <c r="M37" s="2">
        <f>'GF42000'!M45</f>
        <v>251606.27</v>
      </c>
      <c r="N37" s="2">
        <f>'GF42000'!N45</f>
        <v>431272.81999999995</v>
      </c>
      <c r="O37" s="2">
        <f>'GF42000'!O45</f>
        <v>598563.2015357874</v>
      </c>
      <c r="P37" s="2">
        <f>'GF42000'!P45</f>
        <v>1173574.799</v>
      </c>
      <c r="Q37" s="2">
        <f>'GF42000'!Q45</f>
        <v>1173574.32534</v>
      </c>
      <c r="R37" s="2">
        <f>'GF42000'!R45</f>
        <v>514060.25684000005</v>
      </c>
      <c r="S37" s="82">
        <f>'GF42000'!Q47</f>
        <v>0.47366000013425946</v>
      </c>
      <c r="T37" s="82">
        <f>'GF42000'!Q48</f>
        <v>-575011.1238042125</v>
      </c>
      <c r="U37" s="126">
        <f t="shared" si="0"/>
        <v>0.9606523126193772</v>
      </c>
      <c r="V37" s="82">
        <f>'GF42000'!Q49</f>
        <v>659514.0684999999</v>
      </c>
      <c r="W37" s="90">
        <f t="shared" si="1"/>
        <v>-0.14117631100436945</v>
      </c>
      <c r="X37" s="98">
        <f t="shared" si="2"/>
        <v>0.10879114097067791</v>
      </c>
      <c r="Y37" s="98">
        <f t="shared" si="3"/>
        <v>0.056584910614885096</v>
      </c>
    </row>
    <row r="38" spans="1:25" ht="12" customHeight="1" hidden="1">
      <c r="A38" t="s">
        <v>348</v>
      </c>
      <c r="B38" s="11">
        <v>44100</v>
      </c>
      <c r="C38" s="2">
        <v>0</v>
      </c>
      <c r="D38" s="2">
        <v>0</v>
      </c>
      <c r="E38" s="2">
        <v>0</v>
      </c>
      <c r="F38" s="2">
        <v>114490</v>
      </c>
      <c r="G38" s="2">
        <v>165782</v>
      </c>
      <c r="H38" s="2">
        <v>153192</v>
      </c>
      <c r="I38" s="2">
        <v>48340</v>
      </c>
      <c r="J38" s="2">
        <v>0</v>
      </c>
      <c r="K38" s="2">
        <v>0</v>
      </c>
      <c r="L38" s="2">
        <v>0</v>
      </c>
      <c r="M38" s="2">
        <f>'GF44100 legacy'!L19</f>
        <v>0</v>
      </c>
      <c r="N38" s="2">
        <f>'GF44100 legacy'!M19</f>
        <v>0</v>
      </c>
      <c r="O38" s="2">
        <f>'GF44100 legacy'!N19</f>
        <v>0</v>
      </c>
      <c r="P38" s="2">
        <f>'GF44100 legacy'!O19</f>
        <v>0</v>
      </c>
      <c r="Q38" s="2">
        <f>'GF44100 legacy'!P19</f>
        <v>0</v>
      </c>
      <c r="R38" s="2">
        <f>'GF44100 legacy'!Q19</f>
        <v>0</v>
      </c>
      <c r="S38" s="82">
        <f>'GF44100 legacy'!P21</f>
        <v>0</v>
      </c>
      <c r="T38" s="82">
        <f>'GF44100 legacy'!P22</f>
        <v>0</v>
      </c>
      <c r="U38" s="126"/>
      <c r="V38" s="82">
        <f>'GF44100 legacy'!P23</f>
        <v>0</v>
      </c>
      <c r="W38" s="90"/>
      <c r="X38" s="98">
        <f t="shared" si="2"/>
        <v>0</v>
      </c>
      <c r="Y38" s="98"/>
    </row>
    <row r="39" spans="1:25" ht="12.75" hidden="1">
      <c r="A39" t="s">
        <v>349</v>
      </c>
      <c r="B39" s="11">
        <v>45410</v>
      </c>
      <c r="C39" s="2">
        <v>10079</v>
      </c>
      <c r="D39" s="2">
        <v>12671</v>
      </c>
      <c r="E39" s="2">
        <v>12842</v>
      </c>
      <c r="F39" s="2">
        <v>13452</v>
      </c>
      <c r="G39" s="2">
        <v>13515</v>
      </c>
      <c r="H39" s="2">
        <v>0</v>
      </c>
      <c r="I39" s="2"/>
      <c r="J39" s="2">
        <v>0</v>
      </c>
      <c r="K39" s="2">
        <v>0</v>
      </c>
      <c r="L39" s="2">
        <v>0</v>
      </c>
      <c r="M39" s="2">
        <f>'GF45410 legacy'!L22</f>
        <v>0</v>
      </c>
      <c r="N39" s="2">
        <f>'GF45410 legacy'!M22</f>
        <v>0</v>
      </c>
      <c r="O39" s="2">
        <f>'GF45410 legacy'!N22</f>
        <v>0</v>
      </c>
      <c r="P39" s="2">
        <f>'GF45410 legacy'!O22</f>
        <v>0</v>
      </c>
      <c r="Q39" s="2">
        <f>'GF45410 legacy'!P22</f>
        <v>0</v>
      </c>
      <c r="R39" s="2">
        <f>'GF45410 legacy'!Q22</f>
        <v>0</v>
      </c>
      <c r="S39" s="82">
        <f>'GF45410 legacy'!P24</f>
        <v>0</v>
      </c>
      <c r="T39" s="82">
        <f>'GF45410 legacy'!P25</f>
        <v>0</v>
      </c>
      <c r="U39" s="126"/>
      <c r="V39" s="82">
        <f>'GF45410 legacy'!P26</f>
        <v>0</v>
      </c>
      <c r="W39" s="90"/>
      <c r="X39" s="98">
        <f t="shared" si="2"/>
        <v>0</v>
      </c>
      <c r="Y39" s="98">
        <f aca="true" t="shared" si="4" ref="Y39:Y53">R39/R$55</f>
        <v>0</v>
      </c>
    </row>
    <row r="40" spans="1:25" ht="12.75">
      <c r="A40" t="s">
        <v>350</v>
      </c>
      <c r="B40" s="11">
        <v>49000</v>
      </c>
      <c r="C40" s="2">
        <v>196321</v>
      </c>
      <c r="D40" s="2">
        <v>210643</v>
      </c>
      <c r="E40" s="2">
        <v>234035</v>
      </c>
      <c r="F40" s="2">
        <v>268760</v>
      </c>
      <c r="G40" s="2">
        <v>229379</v>
      </c>
      <c r="H40" s="2">
        <v>271423</v>
      </c>
      <c r="I40" s="2">
        <v>289845</v>
      </c>
      <c r="J40" s="2">
        <v>310406</v>
      </c>
      <c r="K40" s="2">
        <v>310946</v>
      </c>
      <c r="L40" s="2">
        <v>344259</v>
      </c>
      <c r="M40" s="2">
        <f>'GF49000'!M46</f>
        <v>281103.85</v>
      </c>
      <c r="N40" s="2">
        <f>'GF49000'!N46</f>
        <v>339923.5640000001</v>
      </c>
      <c r="O40" s="2">
        <f>'GF49000'!O46</f>
        <v>357554.3415615</v>
      </c>
      <c r="P40" s="2">
        <f>'GF49000'!P46</f>
        <v>395586.4355</v>
      </c>
      <c r="Q40" s="2">
        <f>'GF49000'!Q46</f>
        <v>395586.2202</v>
      </c>
      <c r="R40" s="2">
        <f>'GF49000'!R46</f>
        <v>336867.0855</v>
      </c>
      <c r="S40" s="82">
        <f>'GF49000'!Q48</f>
        <v>0.2153000000398606</v>
      </c>
      <c r="T40" s="82">
        <f>'GF49000'!Q49</f>
        <v>-38031.8786385</v>
      </c>
      <c r="U40" s="126">
        <f t="shared" si="0"/>
        <v>0.10636670910611346</v>
      </c>
      <c r="V40" s="82">
        <f>'GF49000'!Q50</f>
        <v>58719.134699999995</v>
      </c>
      <c r="W40" s="90">
        <f t="shared" si="1"/>
        <v>-0.05785765590526818</v>
      </c>
      <c r="X40" s="98">
        <f t="shared" si="2"/>
        <v>0.0366711126160396</v>
      </c>
      <c r="Y40" s="98">
        <f t="shared" si="4"/>
        <v>0.037080466090276314</v>
      </c>
    </row>
    <row r="41" spans="1:25" ht="12.75">
      <c r="A41" t="s">
        <v>279</v>
      </c>
      <c r="B41" s="11">
        <v>51000</v>
      </c>
      <c r="C41" s="2">
        <v>107849</v>
      </c>
      <c r="D41" s="2">
        <v>104403</v>
      </c>
      <c r="E41" s="2">
        <v>106572</v>
      </c>
      <c r="F41" s="2">
        <v>102192</v>
      </c>
      <c r="G41" s="2">
        <v>101431</v>
      </c>
      <c r="H41" s="2">
        <v>70366</v>
      </c>
      <c r="I41" s="2">
        <v>76746</v>
      </c>
      <c r="J41" s="2">
        <v>77018</v>
      </c>
      <c r="K41" s="2">
        <v>81652</v>
      </c>
      <c r="L41" s="2">
        <v>85599</v>
      </c>
      <c r="M41" s="2">
        <f>'GF51000'!M26</f>
        <v>61716.69</v>
      </c>
      <c r="N41" s="2">
        <f>'GF51000'!N26</f>
        <v>81130.428</v>
      </c>
      <c r="O41" s="2">
        <f>'GF51000'!O26</f>
        <v>81758</v>
      </c>
      <c r="P41" s="2">
        <f>'GF51000'!P26</f>
        <v>81758</v>
      </c>
      <c r="Q41" s="2">
        <f>'GF51000'!Q26</f>
        <v>81758</v>
      </c>
      <c r="R41" s="2">
        <f>'GF51000'!R26</f>
        <v>76188</v>
      </c>
      <c r="S41" s="82">
        <f>'GF51000'!Q28</f>
        <v>0</v>
      </c>
      <c r="T41" s="82">
        <f>'GF51000'!Q29</f>
        <v>0</v>
      </c>
      <c r="U41" s="126">
        <f t="shared" si="0"/>
        <v>0</v>
      </c>
      <c r="V41" s="82">
        <f>'GF51000'!Q30</f>
        <v>5570</v>
      </c>
      <c r="W41" s="90">
        <f t="shared" si="1"/>
        <v>-0.06812788962548008</v>
      </c>
      <c r="X41" s="98">
        <f t="shared" si="2"/>
        <v>0.007579022403122033</v>
      </c>
      <c r="Y41" s="98">
        <f t="shared" si="4"/>
        <v>0.0083863537641049</v>
      </c>
    </row>
    <row r="42" spans="1:25" ht="12.75">
      <c r="A42" t="s">
        <v>285</v>
      </c>
      <c r="B42" s="11">
        <v>54000</v>
      </c>
      <c r="C42" s="2">
        <v>5720</v>
      </c>
      <c r="D42" s="2">
        <v>1037</v>
      </c>
      <c r="E42" s="2">
        <v>60610</v>
      </c>
      <c r="F42" s="2">
        <v>66150</v>
      </c>
      <c r="G42" s="2">
        <v>61359</v>
      </c>
      <c r="H42" s="2">
        <v>75255</v>
      </c>
      <c r="I42" s="2">
        <v>106160</v>
      </c>
      <c r="J42" s="2">
        <v>107047</v>
      </c>
      <c r="K42" s="2">
        <v>146685</v>
      </c>
      <c r="L42" s="2">
        <v>134451</v>
      </c>
      <c r="M42" s="2">
        <f>'GF54000'!M23</f>
        <v>57888</v>
      </c>
      <c r="N42" s="2">
        <f>'GF54000'!N23</f>
        <v>58000</v>
      </c>
      <c r="O42" s="2">
        <f>'GF54000'!O23</f>
        <v>97700</v>
      </c>
      <c r="P42" s="2">
        <f>'GF54000'!P23</f>
        <v>65709</v>
      </c>
      <c r="Q42" s="2">
        <f>'GF54000'!Q23</f>
        <v>54000</v>
      </c>
      <c r="R42" s="2">
        <f>'GF54000'!R23</f>
        <v>40000</v>
      </c>
      <c r="S42" s="82">
        <f>'GF54000'!Q25</f>
        <v>11709</v>
      </c>
      <c r="T42" s="82">
        <f>'GF54000'!Q26</f>
        <v>43700</v>
      </c>
      <c r="U42" s="126">
        <f t="shared" si="0"/>
        <v>-0.44728761514841353</v>
      </c>
      <c r="V42" s="82">
        <f>'GF54000'!Q27</f>
        <v>14000</v>
      </c>
      <c r="W42" s="90">
        <f t="shared" si="1"/>
        <v>-0.5905834186284544</v>
      </c>
      <c r="X42" s="98">
        <f t="shared" si="2"/>
        <v>0.005005836857171039</v>
      </c>
      <c r="Y42" s="98">
        <f t="shared" si="4"/>
        <v>0.004402978822966819</v>
      </c>
    </row>
    <row r="43" spans="1:25" ht="12.75">
      <c r="A43" t="s">
        <v>287</v>
      </c>
      <c r="B43" s="11">
        <v>55200</v>
      </c>
      <c r="C43" s="2">
        <v>74261</v>
      </c>
      <c r="D43" s="2">
        <v>79456</v>
      </c>
      <c r="E43" s="2">
        <v>86250</v>
      </c>
      <c r="F43" s="2">
        <v>81402</v>
      </c>
      <c r="G43" s="2">
        <v>84981</v>
      </c>
      <c r="H43" s="2">
        <v>85651</v>
      </c>
      <c r="I43" s="2">
        <v>91324</v>
      </c>
      <c r="J43" s="2">
        <v>89406</v>
      </c>
      <c r="K43" s="2">
        <v>96664</v>
      </c>
      <c r="L43" s="2">
        <v>94284</v>
      </c>
      <c r="M43" s="2">
        <f>'GF55200'!M35</f>
        <v>66264.3</v>
      </c>
      <c r="N43" s="2">
        <f>'GF55200'!N35</f>
        <v>79487.15999999999</v>
      </c>
      <c r="O43" s="2">
        <f>'GF55200'!O35</f>
        <v>92179.73851875</v>
      </c>
      <c r="P43" s="2">
        <f>'GF55200'!P35</f>
        <v>144000</v>
      </c>
      <c r="Q43" s="2">
        <f>'GF55200'!Q35</f>
        <v>144000</v>
      </c>
      <c r="R43" s="2">
        <f>'GF55200'!R35</f>
        <v>144000</v>
      </c>
      <c r="S43" s="82">
        <f>'GF55200'!Q37</f>
        <v>0</v>
      </c>
      <c r="T43" s="82">
        <f>'GF55200'!Q38</f>
        <v>-51820.261481249996</v>
      </c>
      <c r="U43" s="126">
        <f t="shared" si="0"/>
        <v>0.5621654206657289</v>
      </c>
      <c r="V43" s="82">
        <f>'GF55200'!Q39</f>
        <v>0</v>
      </c>
      <c r="W43" s="90">
        <f t="shared" si="1"/>
        <v>0.5621654206657289</v>
      </c>
      <c r="X43" s="98">
        <f t="shared" si="2"/>
        <v>0.013348898285789435</v>
      </c>
      <c r="Y43" s="98">
        <f t="shared" si="4"/>
        <v>0.015850723762680548</v>
      </c>
    </row>
    <row r="44" spans="1:25" ht="12.75">
      <c r="A44" t="s">
        <v>734</v>
      </c>
      <c r="B44" s="11">
        <v>55400</v>
      </c>
      <c r="C44" s="2">
        <v>44907</v>
      </c>
      <c r="D44" s="2">
        <v>48398</v>
      </c>
      <c r="E44" s="2">
        <v>50810</v>
      </c>
      <c r="F44" s="2">
        <v>53571</v>
      </c>
      <c r="G44" s="2">
        <v>60495</v>
      </c>
      <c r="H44" s="2">
        <v>56328</v>
      </c>
      <c r="I44" s="2">
        <v>61999</v>
      </c>
      <c r="J44" s="2">
        <v>60911</v>
      </c>
      <c r="K44" s="2">
        <v>69542</v>
      </c>
      <c r="L44" s="2">
        <v>69973</v>
      </c>
      <c r="M44" s="2">
        <f>'GF55400'!M36</f>
        <v>59157.2</v>
      </c>
      <c r="N44" s="2">
        <f>'GF55400'!N36</f>
        <v>70765.31999999998</v>
      </c>
      <c r="O44" s="2">
        <f>'GF55400'!O36</f>
        <v>73195.2585465</v>
      </c>
      <c r="P44" s="2">
        <f>'GF55400'!P36</f>
        <v>0</v>
      </c>
      <c r="Q44" s="2">
        <f>'GF55400'!Q36</f>
        <v>0</v>
      </c>
      <c r="R44" s="2">
        <f>'GF55400'!R36</f>
        <v>0</v>
      </c>
      <c r="S44" s="82">
        <f>'GF55400'!Q38</f>
        <v>0</v>
      </c>
      <c r="T44" s="82">
        <f>'GF55400'!Q39</f>
        <v>73195.2585465</v>
      </c>
      <c r="U44" s="126">
        <f t="shared" si="0"/>
        <v>-1</v>
      </c>
      <c r="V44" s="82">
        <f>'GF55400'!Q40</f>
        <v>0</v>
      </c>
      <c r="W44" s="90">
        <f t="shared" si="1"/>
        <v>-1</v>
      </c>
      <c r="X44" s="98">
        <f t="shared" si="2"/>
        <v>0</v>
      </c>
      <c r="Y44" s="98">
        <f t="shared" si="4"/>
        <v>0</v>
      </c>
    </row>
    <row r="45" spans="1:25" ht="12.75">
      <c r="A45" t="s">
        <v>294</v>
      </c>
      <c r="B45" s="11">
        <v>61000</v>
      </c>
      <c r="C45" s="2">
        <v>166725</v>
      </c>
      <c r="D45" s="2">
        <v>201685</v>
      </c>
      <c r="E45" s="2">
        <v>189189</v>
      </c>
      <c r="F45" s="2">
        <v>209065</v>
      </c>
      <c r="G45" s="2">
        <v>219984</v>
      </c>
      <c r="H45" s="2">
        <v>213593</v>
      </c>
      <c r="I45" s="2">
        <v>220868</v>
      </c>
      <c r="J45" s="2">
        <v>251537</v>
      </c>
      <c r="K45" s="2">
        <v>271364</v>
      </c>
      <c r="L45" s="2">
        <v>248741</v>
      </c>
      <c r="M45" s="2">
        <f>'GF61000'!M60</f>
        <v>193585.49</v>
      </c>
      <c r="N45" s="2">
        <f>'GF61000'!N60</f>
        <v>239018.02799999996</v>
      </c>
      <c r="O45" s="2">
        <f>'GF61000'!O60</f>
        <v>250011.4804215</v>
      </c>
      <c r="P45" s="20">
        <f>'GF61000'!P60</f>
        <v>247503.035</v>
      </c>
      <c r="Q45" s="2">
        <f>'GF61000'!Q60</f>
        <v>233071.8968</v>
      </c>
      <c r="R45" s="2">
        <f>'GF61000'!R60</f>
        <v>183071.8968</v>
      </c>
      <c r="S45" s="82">
        <f>'GF61000'!Q62</f>
        <v>14431.138200000016</v>
      </c>
      <c r="T45" s="82">
        <f>'GF61000'!Q63</f>
        <v>16939.5836215</v>
      </c>
      <c r="U45" s="126">
        <f t="shared" si="0"/>
        <v>-0.06775522305192216</v>
      </c>
      <c r="V45" s="82">
        <f>'GF61000'!Q64</f>
        <v>50000</v>
      </c>
      <c r="W45" s="90">
        <f t="shared" si="1"/>
        <v>-0.26774603913646305</v>
      </c>
      <c r="X45" s="98">
        <f t="shared" si="2"/>
        <v>0.021605923914300086</v>
      </c>
      <c r="Y45" s="98">
        <f t="shared" si="4"/>
        <v>0.02015154211726917</v>
      </c>
    </row>
    <row r="46" spans="1:25" ht="12.75">
      <c r="A46" t="s">
        <v>308</v>
      </c>
      <c r="B46" s="11">
        <v>61900</v>
      </c>
      <c r="C46" s="2">
        <v>15000</v>
      </c>
      <c r="D46" s="2">
        <v>15000</v>
      </c>
      <c r="E46" s="2">
        <v>15000</v>
      </c>
      <c r="F46" s="2">
        <v>15000</v>
      </c>
      <c r="G46" s="2">
        <v>17500</v>
      </c>
      <c r="H46" s="2">
        <v>15000</v>
      </c>
      <c r="I46" s="2">
        <v>15000</v>
      </c>
      <c r="J46" s="2">
        <v>15000</v>
      </c>
      <c r="K46" s="2">
        <v>17500</v>
      </c>
      <c r="L46" s="2">
        <v>15000</v>
      </c>
      <c r="M46" s="2">
        <f>'GF61900'!M10</f>
        <v>12983</v>
      </c>
      <c r="N46" s="2">
        <f>'GF61900'!N10</f>
        <v>17100</v>
      </c>
      <c r="O46" s="2">
        <f>'GF61900'!O10</f>
        <v>17100</v>
      </c>
      <c r="P46" s="2">
        <f>'GF61900'!P10</f>
        <v>20000</v>
      </c>
      <c r="Q46" s="2">
        <f>'GF61900'!Q10</f>
        <v>17100</v>
      </c>
      <c r="R46" s="2">
        <f>'GF61900'!R10</f>
        <v>15000</v>
      </c>
      <c r="S46" s="82">
        <f>'GF61900'!Q12</f>
        <v>2900</v>
      </c>
      <c r="T46" s="82">
        <f>'GF61900'!Q13</f>
        <v>0</v>
      </c>
      <c r="U46" s="126">
        <f t="shared" si="0"/>
        <v>0</v>
      </c>
      <c r="V46" s="82">
        <f>'GF61900'!Q14</f>
        <v>2100</v>
      </c>
      <c r="W46" s="90">
        <f t="shared" si="1"/>
        <v>-0.12280701754385964</v>
      </c>
      <c r="X46" s="98">
        <f t="shared" si="2"/>
        <v>0.0015851816714374956</v>
      </c>
      <c r="Y46" s="98">
        <f t="shared" si="4"/>
        <v>0.001651117058612557</v>
      </c>
    </row>
    <row r="47" spans="1:25" ht="12.75">
      <c r="A47" s="33" t="s">
        <v>309</v>
      </c>
      <c r="B47" s="11">
        <v>65100</v>
      </c>
      <c r="C47" s="2">
        <v>80709</v>
      </c>
      <c r="D47" s="2">
        <v>82663</v>
      </c>
      <c r="E47" s="2">
        <v>94419</v>
      </c>
      <c r="F47" s="2">
        <v>95028</v>
      </c>
      <c r="G47" s="2">
        <v>93920</v>
      </c>
      <c r="H47" s="2">
        <v>67500</v>
      </c>
      <c r="I47" s="2">
        <v>127504</v>
      </c>
      <c r="J47" s="2">
        <v>158927</v>
      </c>
      <c r="K47" s="2">
        <v>633532</v>
      </c>
      <c r="L47" s="2">
        <v>101400</v>
      </c>
      <c r="M47" s="2">
        <f>'GF65100'!M21</f>
        <v>81000</v>
      </c>
      <c r="N47" s="2">
        <f>'GF65100'!N21</f>
        <v>81000</v>
      </c>
      <c r="O47" s="2">
        <f>'GF65100'!O21</f>
        <v>81000</v>
      </c>
      <c r="P47" s="2">
        <f>'GF65100'!P21</f>
        <v>81000</v>
      </c>
      <c r="Q47" s="2">
        <f>'GF65100'!Q21</f>
        <v>81000</v>
      </c>
      <c r="R47" s="2">
        <f>'GF65100'!R21</f>
        <v>81000</v>
      </c>
      <c r="S47" s="82">
        <f>'GF65100'!Q23</f>
        <v>0</v>
      </c>
      <c r="T47" s="82">
        <f>'GF65100'!Q24</f>
        <v>0</v>
      </c>
      <c r="U47" s="126">
        <f t="shared" si="0"/>
        <v>0</v>
      </c>
      <c r="V47" s="82">
        <f>'GF65100'!Q25</f>
        <v>0</v>
      </c>
      <c r="W47" s="90">
        <f t="shared" si="1"/>
        <v>0</v>
      </c>
      <c r="X47" s="98">
        <f t="shared" si="2"/>
        <v>0.007508755285756558</v>
      </c>
      <c r="Y47" s="98">
        <f t="shared" si="4"/>
        <v>0.008916032116507808</v>
      </c>
    </row>
    <row r="48" spans="1:25" ht="12.75">
      <c r="A48" t="s">
        <v>311</v>
      </c>
      <c r="B48" s="11">
        <v>71300</v>
      </c>
      <c r="C48" s="2">
        <v>64232</v>
      </c>
      <c r="D48" s="2">
        <v>64032</v>
      </c>
      <c r="E48" s="2">
        <v>68384</v>
      </c>
      <c r="F48" s="2">
        <v>68967</v>
      </c>
      <c r="G48" s="2">
        <v>77882</v>
      </c>
      <c r="H48" s="2">
        <v>74961</v>
      </c>
      <c r="I48" s="2">
        <v>72090</v>
      </c>
      <c r="J48" s="2">
        <v>81267</v>
      </c>
      <c r="K48" s="2">
        <v>81298</v>
      </c>
      <c r="L48" s="2">
        <v>76933</v>
      </c>
      <c r="M48" s="2">
        <f>'GF71300'!M43</f>
        <v>56575</v>
      </c>
      <c r="N48" s="2">
        <f>'GF71300'!N43</f>
        <v>67810.00000000001</v>
      </c>
      <c r="O48" s="2">
        <f>'GF71300'!O43</f>
        <v>67733</v>
      </c>
      <c r="P48" s="2">
        <f>'GF71300'!P43</f>
        <v>80440</v>
      </c>
      <c r="Q48" s="2">
        <f>'GF71300'!Q43</f>
        <v>73086.75404</v>
      </c>
      <c r="R48" s="2">
        <f>'GF71300'!R43</f>
        <v>68233</v>
      </c>
      <c r="S48" s="82">
        <f>'GF71300'!Q45</f>
        <v>7353.24596</v>
      </c>
      <c r="T48" s="82">
        <f>'GF71300'!Q46</f>
        <v>-5353.75404</v>
      </c>
      <c r="U48" s="126">
        <f t="shared" si="0"/>
        <v>0.07904203327772281</v>
      </c>
      <c r="V48" s="82">
        <f>'GF71300'!Q47</f>
        <v>4853.75404</v>
      </c>
      <c r="W48" s="90">
        <f t="shared" si="1"/>
        <v>0.007381926092155966</v>
      </c>
      <c r="X48" s="98">
        <f t="shared" si="2"/>
        <v>0.006775191984156043</v>
      </c>
      <c r="Y48" s="98">
        <f t="shared" si="4"/>
        <v>0.007510711350687374</v>
      </c>
    </row>
    <row r="49" spans="1:25" ht="12.75">
      <c r="A49" t="s">
        <v>313</v>
      </c>
      <c r="B49" s="11">
        <v>71400</v>
      </c>
      <c r="C49" s="2">
        <v>1878</v>
      </c>
      <c r="D49" s="2">
        <v>1408</v>
      </c>
      <c r="E49" s="2">
        <v>1878</v>
      </c>
      <c r="F49" s="2">
        <v>2340</v>
      </c>
      <c r="G49" s="2">
        <v>2340</v>
      </c>
      <c r="H49" s="2">
        <v>2340</v>
      </c>
      <c r="I49" s="2">
        <v>2340</v>
      </c>
      <c r="J49" s="2">
        <v>2340</v>
      </c>
      <c r="K49" s="2">
        <v>2352</v>
      </c>
      <c r="L49" s="2">
        <v>2352</v>
      </c>
      <c r="M49" s="2">
        <f>'GF71400'!M9</f>
        <v>0</v>
      </c>
      <c r="N49" s="2">
        <f>'GF71400'!N9</f>
        <v>0</v>
      </c>
      <c r="O49" s="2">
        <f>'GF71400'!O9</f>
        <v>0</v>
      </c>
      <c r="P49" s="2">
        <f>'GF71400'!P9</f>
        <v>0</v>
      </c>
      <c r="Q49" s="2">
        <f>'GF71400'!Q9</f>
        <v>0</v>
      </c>
      <c r="R49" s="2">
        <f>'GF71400'!R9</f>
        <v>0</v>
      </c>
      <c r="S49" s="82">
        <f>'GF71400'!Q11</f>
        <v>0</v>
      </c>
      <c r="T49" s="82">
        <f>'GF71400'!Q12</f>
        <v>0</v>
      </c>
      <c r="U49" s="126" t="e">
        <f t="shared" si="0"/>
        <v>#DIV/0!</v>
      </c>
      <c r="V49" s="82">
        <f>'GF71400'!Q13</f>
        <v>0</v>
      </c>
      <c r="W49" s="90" t="e">
        <f t="shared" si="1"/>
        <v>#DIV/0!</v>
      </c>
      <c r="X49" s="98">
        <f t="shared" si="2"/>
        <v>0</v>
      </c>
      <c r="Y49" s="98">
        <f t="shared" si="4"/>
        <v>0</v>
      </c>
    </row>
    <row r="50" spans="1:25" ht="12.75">
      <c r="A50" t="s">
        <v>314</v>
      </c>
      <c r="B50" s="11">
        <v>75000</v>
      </c>
      <c r="C50" s="2">
        <v>107818</v>
      </c>
      <c r="D50" s="2">
        <v>208966</v>
      </c>
      <c r="E50" s="2">
        <v>0</v>
      </c>
      <c r="F50" s="2">
        <v>160494</v>
      </c>
      <c r="G50" s="2">
        <v>194340</v>
      </c>
      <c r="H50" s="2">
        <v>71921</v>
      </c>
      <c r="I50" s="2">
        <v>63927</v>
      </c>
      <c r="J50" s="2">
        <v>96453</v>
      </c>
      <c r="K50" s="2">
        <v>150372</v>
      </c>
      <c r="L50" s="2">
        <v>157160</v>
      </c>
      <c r="M50" s="2">
        <f>'GF75000'!M44</f>
        <v>75427.12</v>
      </c>
      <c r="N50" s="2">
        <f>'GF75000'!N44</f>
        <v>94231.20000000001</v>
      </c>
      <c r="O50" s="2">
        <f>'GF75000'!O44</f>
        <v>93870</v>
      </c>
      <c r="P50" s="2">
        <f>'GF75000'!P44</f>
        <v>190272.3755</v>
      </c>
      <c r="Q50" s="2">
        <f>'GF75000'!Q44</f>
        <v>177637.44009</v>
      </c>
      <c r="R50" s="2">
        <f>'GF75000'!R44</f>
        <v>167797</v>
      </c>
      <c r="S50" s="82">
        <f>'GF75000'!Q46</f>
        <v>12634.935410000006</v>
      </c>
      <c r="T50" s="82">
        <f>'GF75000'!Q47</f>
        <v>-83767.44008999999</v>
      </c>
      <c r="U50" s="126">
        <f t="shared" si="0"/>
        <v>0.8923771182486416</v>
      </c>
      <c r="V50" s="82">
        <f>'GF75000'!Q48</f>
        <v>9840.44008999999</v>
      </c>
      <c r="W50" s="90">
        <f t="shared" si="1"/>
        <v>0.7875466070096943</v>
      </c>
      <c r="X50" s="98">
        <f t="shared" si="2"/>
        <v>0.01646711194103767</v>
      </c>
      <c r="Y50" s="98">
        <f t="shared" si="4"/>
        <v>0.018470165938934083</v>
      </c>
    </row>
    <row r="51" spans="1:25" ht="12.75">
      <c r="A51" t="s">
        <v>318</v>
      </c>
      <c r="B51" s="11">
        <v>75630</v>
      </c>
      <c r="C51" s="2">
        <v>10000</v>
      </c>
      <c r="D51" s="2">
        <v>34910</v>
      </c>
      <c r="E51" s="2">
        <v>10000</v>
      </c>
      <c r="F51" s="2">
        <v>23363</v>
      </c>
      <c r="G51" s="2">
        <v>12850</v>
      </c>
      <c r="H51" s="2">
        <v>12440</v>
      </c>
      <c r="I51" s="2"/>
      <c r="J51" s="2">
        <v>7250</v>
      </c>
      <c r="K51" s="2">
        <v>7250</v>
      </c>
      <c r="L51" s="2">
        <v>13250</v>
      </c>
      <c r="M51" s="2">
        <f>'GF75630'!M18</f>
        <v>6199</v>
      </c>
      <c r="N51" s="2">
        <f>'GF75630'!N18</f>
        <v>6199</v>
      </c>
      <c r="O51" s="2">
        <f>'GF75630'!O18</f>
        <v>6199</v>
      </c>
      <c r="P51" s="2">
        <f>'GF75630'!P18</f>
        <v>28423</v>
      </c>
      <c r="Q51" s="2">
        <f>'GF75630'!Q18</f>
        <v>3500</v>
      </c>
      <c r="R51" s="2">
        <f>'GF75630'!R18</f>
        <v>3500</v>
      </c>
      <c r="S51" s="82">
        <f>'GF75630'!Q20</f>
        <v>24923</v>
      </c>
      <c r="T51" s="82">
        <f>'GF75630'!Q21</f>
        <v>2699</v>
      </c>
      <c r="U51" s="126">
        <f t="shared" si="0"/>
        <v>-0.435392805291176</v>
      </c>
      <c r="V51" s="82">
        <f>'GF75630'!Q22</f>
        <v>0</v>
      </c>
      <c r="W51" s="90"/>
      <c r="X51" s="98">
        <f t="shared" si="2"/>
        <v>0.00032445238889071545</v>
      </c>
      <c r="Y51" s="98">
        <f t="shared" si="4"/>
        <v>0.0003852606470095966</v>
      </c>
    </row>
    <row r="52" spans="1:25" ht="12.75">
      <c r="A52" t="s">
        <v>320</v>
      </c>
      <c r="B52" s="11">
        <v>76300</v>
      </c>
      <c r="C52" s="2">
        <v>4500</v>
      </c>
      <c r="D52" s="2">
        <v>4500</v>
      </c>
      <c r="E52" s="2">
        <v>4500</v>
      </c>
      <c r="F52" s="2">
        <v>4500</v>
      </c>
      <c r="G52" s="2">
        <v>5500</v>
      </c>
      <c r="H52" s="2">
        <v>1125</v>
      </c>
      <c r="I52" s="2">
        <v>4625</v>
      </c>
      <c r="J52" s="2">
        <v>4600</v>
      </c>
      <c r="K52" s="2">
        <v>100</v>
      </c>
      <c r="L52" s="2">
        <v>100</v>
      </c>
      <c r="M52" s="2">
        <f>'GF76300'!M11</f>
        <v>855</v>
      </c>
      <c r="N52" s="2">
        <f>'GF76300'!N11</f>
        <v>855</v>
      </c>
      <c r="O52" s="2">
        <f>'GF76300'!O11</f>
        <v>855</v>
      </c>
      <c r="P52" s="2">
        <f>'GF76300'!P11</f>
        <v>855</v>
      </c>
      <c r="Q52" s="2">
        <f>'GF76300'!Q11</f>
        <v>855</v>
      </c>
      <c r="R52" s="2">
        <f>'GF76300'!R11</f>
        <v>100</v>
      </c>
      <c r="S52" s="82">
        <f>'GF76300'!Q13</f>
        <v>0</v>
      </c>
      <c r="T52" s="82">
        <f>'GF76300'!Q14</f>
        <v>0</v>
      </c>
      <c r="U52" s="126">
        <f t="shared" si="0"/>
        <v>0</v>
      </c>
      <c r="V52" s="82">
        <f>'GF76300'!Q15</f>
        <v>755</v>
      </c>
      <c r="W52" s="90">
        <f t="shared" si="1"/>
        <v>-0.8830409356725146</v>
      </c>
      <c r="X52" s="98">
        <f t="shared" si="2"/>
        <v>7.925908357187477E-05</v>
      </c>
      <c r="Y52" s="98">
        <f t="shared" si="4"/>
        <v>1.1007447057417047E-05</v>
      </c>
    </row>
    <row r="53" spans="1:25" ht="12.75">
      <c r="A53" t="s">
        <v>362</v>
      </c>
      <c r="B53" s="11">
        <v>76400</v>
      </c>
      <c r="C53" s="5"/>
      <c r="D53" s="5"/>
      <c r="E53" s="2">
        <v>0</v>
      </c>
      <c r="F53" s="2">
        <v>0</v>
      </c>
      <c r="G53" s="2">
        <v>25000</v>
      </c>
      <c r="H53" s="2">
        <v>20000</v>
      </c>
      <c r="I53" s="2">
        <v>20000</v>
      </c>
      <c r="J53" s="2">
        <v>20000</v>
      </c>
      <c r="K53" s="2">
        <v>25000</v>
      </c>
      <c r="L53" s="2">
        <v>26884</v>
      </c>
      <c r="M53" s="2">
        <f>'GF76400'!M10</f>
        <v>22907</v>
      </c>
      <c r="N53" s="2">
        <f>'GF76400'!N10</f>
        <v>22907</v>
      </c>
      <c r="O53" s="2">
        <f>'GF76400'!O10</f>
        <v>21375</v>
      </c>
      <c r="P53" s="2">
        <f>'GF76400'!P10</f>
        <v>21375</v>
      </c>
      <c r="Q53" s="2">
        <f>'GF76400'!Q10</f>
        <v>15000</v>
      </c>
      <c r="R53" s="2">
        <f>'GF76400'!R10</f>
        <v>15000</v>
      </c>
      <c r="S53" s="82">
        <f>'GF76400'!Q12</f>
        <v>6375</v>
      </c>
      <c r="T53" s="82">
        <f>'GF76400'!Q13</f>
        <v>6375</v>
      </c>
      <c r="U53" s="126">
        <f t="shared" si="0"/>
        <v>-0.2982456140350877</v>
      </c>
      <c r="V53" s="82">
        <f>'GF76400'!Q14</f>
        <v>0</v>
      </c>
      <c r="W53" s="90">
        <f t="shared" si="1"/>
        <v>-0.2982456140350877</v>
      </c>
      <c r="X53" s="98">
        <f t="shared" si="2"/>
        <v>0.0013905102381030663</v>
      </c>
      <c r="Y53" s="98">
        <f t="shared" si="4"/>
        <v>0.001651117058612557</v>
      </c>
    </row>
    <row r="54" spans="1:25" ht="12.75">
      <c r="A54" t="s">
        <v>621</v>
      </c>
      <c r="B54" s="11"/>
      <c r="C54" s="5"/>
      <c r="D54" s="5"/>
      <c r="E54" s="5"/>
      <c r="F54" s="2">
        <v>48009</v>
      </c>
      <c r="G54" s="2">
        <v>73242</v>
      </c>
      <c r="H54" s="5"/>
      <c r="I54" s="2">
        <v>24046</v>
      </c>
      <c r="J54" s="2">
        <v>31106</v>
      </c>
      <c r="K54" s="2">
        <v>-14894</v>
      </c>
      <c r="L54" s="2"/>
      <c r="M54" s="5"/>
      <c r="O54" s="5"/>
      <c r="P54" s="5"/>
      <c r="U54" s="126"/>
      <c r="W54" s="90"/>
      <c r="X54" s="76"/>
      <c r="Y54" s="76"/>
    </row>
    <row r="55" spans="1:25" ht="12.75">
      <c r="A55" s="6" t="s">
        <v>116</v>
      </c>
      <c r="B55" s="6"/>
      <c r="C55" s="8">
        <v>5451745</v>
      </c>
      <c r="D55" s="8">
        <v>6119930</v>
      </c>
      <c r="E55" s="8">
        <v>6196873</v>
      </c>
      <c r="F55" s="8">
        <v>7178338</v>
      </c>
      <c r="G55" s="8">
        <v>7201839</v>
      </c>
      <c r="H55" s="8">
        <v>7202005</v>
      </c>
      <c r="I55" s="8">
        <v>7801238</v>
      </c>
      <c r="J55" s="8">
        <v>8946008</v>
      </c>
      <c r="K55" s="8">
        <v>10049086.96</v>
      </c>
      <c r="L55" s="8">
        <v>9872166</v>
      </c>
      <c r="M55" s="8">
        <f>SUM(M7:M54)</f>
        <v>7477517.73</v>
      </c>
      <c r="N55" s="8">
        <f>SUM(N7:N54)</f>
        <v>9367347.88857</v>
      </c>
      <c r="O55" s="8">
        <f aca="true" t="shared" si="5" ref="O55:T55">SUM(O7:O54)</f>
        <v>10610688.25226356</v>
      </c>
      <c r="P55" s="8">
        <f>SUM(P7:P54)</f>
        <v>10787407.089114998</v>
      </c>
      <c r="Q55" s="8">
        <f>SUM(Q7:Q54)</f>
        <v>10336561.350045001</v>
      </c>
      <c r="R55" s="8">
        <f>SUM(R7:R54)</f>
        <v>9084758.661875</v>
      </c>
      <c r="S55" s="8">
        <f t="shared" si="5"/>
        <v>450845.7390699999</v>
      </c>
      <c r="T55" s="8">
        <f t="shared" si="5"/>
        <v>273926.90221855853</v>
      </c>
      <c r="U55" s="127">
        <f>(Q55-O55)/O55</f>
        <v>-0.02583497843884733</v>
      </c>
      <c r="V55" s="8">
        <f>SUM(V7:V54)</f>
        <v>1251802.68817</v>
      </c>
      <c r="W55" s="120">
        <f t="shared" si="1"/>
        <v>-0.14381061379906593</v>
      </c>
      <c r="X55" s="87">
        <f>SUM(X7:X54)</f>
        <v>0.9589467450273641</v>
      </c>
      <c r="Y55" s="87">
        <f>SUM(Y7:Y54)</f>
        <v>0.999867910635311</v>
      </c>
    </row>
    <row r="56" spans="1:18" ht="12.75">
      <c r="A56" t="s">
        <v>110</v>
      </c>
      <c r="K56" s="18"/>
      <c r="L56" s="18"/>
      <c r="O56" s="2"/>
      <c r="P56" s="2"/>
      <c r="Q56" s="40" t="s">
        <v>4</v>
      </c>
      <c r="R56" s="2">
        <f>'GF Rev'!P169</f>
        <v>8577840</v>
      </c>
    </row>
    <row r="57" spans="12:18" ht="12.75">
      <c r="L57" s="188" t="s">
        <v>1065</v>
      </c>
      <c r="M57" s="183">
        <f>P55-Q55</f>
        <v>450845.7390699964</v>
      </c>
      <c r="O57" s="2"/>
      <c r="P57" s="2"/>
      <c r="Q57" s="40" t="s">
        <v>47</v>
      </c>
      <c r="R57" s="2">
        <f>R55-R56</f>
        <v>506918.6618750002</v>
      </c>
    </row>
    <row r="58" spans="3:18" ht="12.75" customHeight="1">
      <c r="C58" s="2"/>
      <c r="D58" s="2"/>
      <c r="E58" s="2"/>
      <c r="F58" s="2"/>
      <c r="G58" s="46" t="s">
        <v>649</v>
      </c>
      <c r="H58" s="22"/>
      <c r="I58" s="31"/>
      <c r="L58" s="188" t="s">
        <v>1066</v>
      </c>
      <c r="M58" s="183">
        <f>Q55-R55</f>
        <v>1251802.688170001</v>
      </c>
      <c r="O58" s="2"/>
      <c r="P58" s="2"/>
      <c r="Q58" s="160" t="s">
        <v>48</v>
      </c>
      <c r="R58" s="2">
        <f>100000+506000</f>
        <v>606000</v>
      </c>
    </row>
    <row r="59" spans="3:18" ht="12.75" customHeight="1">
      <c r="C59" s="2"/>
      <c r="D59" s="2"/>
      <c r="E59" s="2"/>
      <c r="F59" s="2"/>
      <c r="G59" s="46"/>
      <c r="H59" s="22"/>
      <c r="I59" s="31"/>
      <c r="L59" s="188" t="s">
        <v>1067</v>
      </c>
      <c r="M59" s="183">
        <f>SUM(M57:M58)</f>
        <v>1702648.4272399973</v>
      </c>
      <c r="O59" s="2"/>
      <c r="P59" s="2"/>
      <c r="Q59" s="160" t="s">
        <v>49</v>
      </c>
      <c r="R59" s="2"/>
    </row>
    <row r="60" spans="1:18" ht="14.25" customHeight="1">
      <c r="A60" s="6"/>
      <c r="G60" s="46" t="s">
        <v>595</v>
      </c>
      <c r="H60" s="22"/>
      <c r="I60" s="22"/>
      <c r="J60" s="22"/>
      <c r="K60" s="22"/>
      <c r="L60" s="22"/>
      <c r="M60" s="141"/>
      <c r="O60" s="2"/>
      <c r="P60" s="2"/>
      <c r="Q60" s="129" t="s">
        <v>50</v>
      </c>
      <c r="R60" s="2">
        <f>R57-R58</f>
        <v>-99081.33812499978</v>
      </c>
    </row>
    <row r="61" ht="12.75"/>
    <row r="62" ht="12.75">
      <c r="O62" s="2"/>
    </row>
  </sheetData>
  <printOptions gridLines="1"/>
  <pageMargins left="0.25" right="0.25" top="1" bottom="0.55" header="0.5" footer="0.25"/>
  <pageSetup fitToHeight="1" fitToWidth="1" horizontalDpi="300" verticalDpi="300" orientation="landscape" scale="69" r:id="rId3"/>
  <headerFooter alignWithMargins="0">
    <oddFooter>&amp;L&amp;F
&amp;A&amp;CPage &amp;P of &amp;N&amp;R&amp;D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T76"/>
  <sheetViews>
    <sheetView zoomScale="75" zoomScaleNormal="75" workbookViewId="0" topLeftCell="A1">
      <selection activeCell="V11" sqref="V11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9" width="11.7109375" style="0" hidden="1" customWidth="1"/>
    <col min="10" max="12" width="11.7109375" style="0" customWidth="1"/>
    <col min="13" max="13" width="10.8515625" style="0" customWidth="1"/>
    <col min="14" max="14" width="7.7109375" style="0" bestFit="1" customWidth="1"/>
    <col min="15" max="15" width="10.00390625" style="0" customWidth="1"/>
    <col min="16" max="16" width="10.421875" style="0" customWidth="1"/>
    <col min="17" max="17" width="9.7109375" style="0" customWidth="1"/>
    <col min="18" max="18" width="9.8515625" style="0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470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62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686</v>
      </c>
      <c r="B7" s="4">
        <v>51.11</v>
      </c>
      <c r="C7" s="2">
        <v>21515</v>
      </c>
      <c r="D7" s="2">
        <v>11514</v>
      </c>
      <c r="E7" s="2">
        <v>10068</v>
      </c>
      <c r="F7" s="2">
        <v>10441</v>
      </c>
      <c r="G7" s="2">
        <v>10915</v>
      </c>
      <c r="H7" s="2">
        <v>11767</v>
      </c>
      <c r="I7" s="2">
        <v>11625</v>
      </c>
      <c r="J7" s="2">
        <v>13586</v>
      </c>
      <c r="K7" s="2">
        <v>13874</v>
      </c>
      <c r="L7" s="2">
        <v>15349.32</v>
      </c>
      <c r="M7" s="2">
        <v>13282</v>
      </c>
      <c r="N7" s="2">
        <f>+M7/$M$3*12</f>
        <v>15938.400000000001</v>
      </c>
      <c r="O7" s="2">
        <v>16075</v>
      </c>
      <c r="P7" s="2">
        <v>16372</v>
      </c>
      <c r="Q7" s="2">
        <v>16371.68</v>
      </c>
      <c r="R7" s="2">
        <v>16371.68</v>
      </c>
      <c r="S7" s="92">
        <f>(R7-O7)/O7</f>
        <v>0.01845598755832039</v>
      </c>
    </row>
    <row r="8" spans="1:20" ht="12.75">
      <c r="A8" t="s">
        <v>494</v>
      </c>
      <c r="B8" s="4">
        <v>51.21</v>
      </c>
      <c r="C8" s="2">
        <v>989</v>
      </c>
      <c r="D8" s="2">
        <v>1256</v>
      </c>
      <c r="E8" s="2">
        <v>1588</v>
      </c>
      <c r="F8" s="2">
        <v>1418</v>
      </c>
      <c r="G8" s="2">
        <v>1499</v>
      </c>
      <c r="H8" s="2">
        <v>1570</v>
      </c>
      <c r="I8" s="2">
        <v>1579</v>
      </c>
      <c r="J8" s="2">
        <v>1687</v>
      </c>
      <c r="K8" s="2">
        <v>1995</v>
      </c>
      <c r="L8" s="2">
        <v>2150</v>
      </c>
      <c r="M8" s="2">
        <v>1882</v>
      </c>
      <c r="N8" s="2">
        <f aca="true" t="shared" si="0" ref="N8:N22">+M8/$M$3*12</f>
        <v>2258.3999999999996</v>
      </c>
      <c r="O8" s="31">
        <v>2400</v>
      </c>
      <c r="P8" s="31">
        <v>2460</v>
      </c>
      <c r="Q8" s="31">
        <f>0.5*4920</f>
        <v>2460</v>
      </c>
      <c r="R8" s="31">
        <f>0.5*4920</f>
        <v>2460</v>
      </c>
      <c r="S8" s="92">
        <f>(R8-O8)/O8</f>
        <v>0.025</v>
      </c>
      <c r="T8" t="s">
        <v>825</v>
      </c>
    </row>
    <row r="9" spans="1:19" ht="12.75">
      <c r="A9" t="s">
        <v>139</v>
      </c>
      <c r="B9" s="4">
        <v>51.22</v>
      </c>
      <c r="C9" s="2">
        <v>1645</v>
      </c>
      <c r="D9" s="2">
        <v>880</v>
      </c>
      <c r="E9" s="2">
        <v>770</v>
      </c>
      <c r="F9" s="2">
        <v>799</v>
      </c>
      <c r="G9" s="2">
        <v>835</v>
      </c>
      <c r="H9" s="2">
        <v>900</v>
      </c>
      <c r="I9" s="2">
        <v>889</v>
      </c>
      <c r="J9" s="2">
        <v>1050</v>
      </c>
      <c r="K9" s="2">
        <v>1065</v>
      </c>
      <c r="L9" s="2">
        <v>1187.61</v>
      </c>
      <c r="M9" s="2">
        <v>1016</v>
      </c>
      <c r="N9" s="2">
        <f t="shared" si="0"/>
        <v>1219.1999999999998</v>
      </c>
      <c r="O9" s="2">
        <v>1229.7375</v>
      </c>
      <c r="P9" s="2">
        <f>(P7)*0.0765</f>
        <v>1252.458</v>
      </c>
      <c r="Q9" s="2">
        <f>(Q7)*0.0765</f>
        <v>1252.43352</v>
      </c>
      <c r="R9" s="2">
        <f>(R7)*0.0765</f>
        <v>1252.43352</v>
      </c>
      <c r="S9" s="92">
        <f>(R9-O9)/O9</f>
        <v>0.018455987558320446</v>
      </c>
    </row>
    <row r="10" spans="1:19" ht="12.75">
      <c r="A10" t="s">
        <v>235</v>
      </c>
      <c r="B10" s="4">
        <v>51.24</v>
      </c>
      <c r="C10" s="2"/>
      <c r="D10" s="2"/>
      <c r="E10" s="2"/>
      <c r="F10" s="2"/>
      <c r="G10" s="2"/>
      <c r="H10" s="2"/>
      <c r="I10" s="2"/>
      <c r="J10" s="2"/>
      <c r="K10" s="2"/>
      <c r="L10" s="2">
        <v>3</v>
      </c>
      <c r="M10" s="2"/>
      <c r="N10" s="2"/>
      <c r="O10" s="2"/>
      <c r="P10" s="2"/>
      <c r="Q10" s="2"/>
      <c r="R10" s="2"/>
      <c r="S10" s="92"/>
    </row>
    <row r="11" spans="1:19" ht="12.75">
      <c r="A11" t="s">
        <v>871</v>
      </c>
      <c r="B11" s="4"/>
      <c r="C11" s="2"/>
      <c r="D11" s="2"/>
      <c r="E11" s="2"/>
      <c r="F11" s="2"/>
      <c r="G11" s="2"/>
      <c r="H11" s="2"/>
      <c r="I11" s="2"/>
      <c r="J11" s="2"/>
      <c r="K11" s="2">
        <v>53</v>
      </c>
      <c r="L11" s="2">
        <v>180</v>
      </c>
      <c r="M11" s="2"/>
      <c r="N11" s="2"/>
      <c r="O11" s="2"/>
      <c r="P11" s="2"/>
      <c r="Q11" s="2"/>
      <c r="R11" s="2"/>
      <c r="S11" s="92"/>
    </row>
    <row r="12" spans="1:19" ht="12.75">
      <c r="A12" t="s">
        <v>141</v>
      </c>
      <c r="B12" s="4">
        <v>52.32</v>
      </c>
      <c r="C12" s="2">
        <v>120</v>
      </c>
      <c r="D12" s="2">
        <v>120</v>
      </c>
      <c r="E12" s="2">
        <v>130</v>
      </c>
      <c r="F12" s="2">
        <v>1624</v>
      </c>
      <c r="G12" s="2">
        <v>2375</v>
      </c>
      <c r="H12" s="2">
        <v>1574</v>
      </c>
      <c r="I12" s="2">
        <v>1226</v>
      </c>
      <c r="J12" s="2">
        <v>2429</v>
      </c>
      <c r="K12" s="2">
        <v>2589</v>
      </c>
      <c r="L12" s="2">
        <v>2690</v>
      </c>
      <c r="M12" s="2">
        <v>1865</v>
      </c>
      <c r="N12" s="2">
        <f t="shared" si="0"/>
        <v>2238</v>
      </c>
      <c r="O12" s="2">
        <v>2500</v>
      </c>
      <c r="P12" s="2">
        <v>2500</v>
      </c>
      <c r="Q12" s="2">
        <v>2500</v>
      </c>
      <c r="R12" s="2">
        <v>2500</v>
      </c>
      <c r="S12" s="92">
        <f>(R12-O12)/O12</f>
        <v>0</v>
      </c>
    </row>
    <row r="13" spans="1:19" ht="12.75">
      <c r="A13" t="s">
        <v>142</v>
      </c>
      <c r="B13" s="4">
        <v>52.321</v>
      </c>
      <c r="C13" s="2">
        <v>33</v>
      </c>
      <c r="D13" s="2"/>
      <c r="E13" s="2">
        <v>136</v>
      </c>
      <c r="F13" s="2">
        <v>68</v>
      </c>
      <c r="G13" s="2"/>
      <c r="H13" s="2">
        <v>185</v>
      </c>
      <c r="I13" s="2">
        <v>52</v>
      </c>
      <c r="J13" s="2">
        <v>76</v>
      </c>
      <c r="K13" s="2"/>
      <c r="L13" s="2"/>
      <c r="M13" s="2">
        <v>18</v>
      </c>
      <c r="N13" s="2">
        <f t="shared" si="0"/>
        <v>21.6</v>
      </c>
      <c r="O13" s="2">
        <v>100</v>
      </c>
      <c r="P13" s="2">
        <v>100</v>
      </c>
      <c r="Q13" s="2"/>
      <c r="R13" s="2"/>
      <c r="S13" s="92">
        <f>(R13-O13)/O13</f>
        <v>-1</v>
      </c>
    </row>
    <row r="14" spans="1:19" ht="12.75">
      <c r="A14" t="s">
        <v>154</v>
      </c>
      <c r="B14" s="4">
        <v>52.35</v>
      </c>
      <c r="C14" s="2">
        <v>1077</v>
      </c>
      <c r="D14" s="2">
        <v>1221</v>
      </c>
      <c r="E14" s="2">
        <v>534</v>
      </c>
      <c r="F14" s="2">
        <v>310</v>
      </c>
      <c r="G14" s="2">
        <v>383</v>
      </c>
      <c r="H14" s="2">
        <v>584</v>
      </c>
      <c r="I14" s="2">
        <v>120</v>
      </c>
      <c r="J14" s="2">
        <v>474</v>
      </c>
      <c r="K14" s="2">
        <v>528</v>
      </c>
      <c r="L14" s="2">
        <v>-47.91</v>
      </c>
      <c r="M14" s="2">
        <v>70</v>
      </c>
      <c r="N14" s="2">
        <v>600</v>
      </c>
      <c r="O14" s="2">
        <v>600</v>
      </c>
      <c r="P14" s="2">
        <v>750</v>
      </c>
      <c r="Q14" s="2">
        <v>500</v>
      </c>
      <c r="R14" s="2">
        <v>500</v>
      </c>
      <c r="S14" s="92">
        <f>(R14-O14)/O14</f>
        <v>-0.16666666666666666</v>
      </c>
    </row>
    <row r="15" spans="1:19" ht="12.75">
      <c r="A15" t="s">
        <v>144</v>
      </c>
      <c r="B15" s="4">
        <v>52.3602</v>
      </c>
      <c r="C15" s="2"/>
      <c r="D15" s="2">
        <v>40</v>
      </c>
      <c r="E15" s="2">
        <v>40</v>
      </c>
      <c r="F15" s="2">
        <v>25</v>
      </c>
      <c r="G15" s="2"/>
      <c r="H15" s="2">
        <v>25</v>
      </c>
      <c r="I15" s="2"/>
      <c r="J15" s="2"/>
      <c r="K15" s="2"/>
      <c r="L15" s="2"/>
      <c r="M15" s="2">
        <v>0</v>
      </c>
      <c r="N15" s="2"/>
      <c r="O15" s="2">
        <v>100</v>
      </c>
      <c r="P15" s="2">
        <v>100</v>
      </c>
      <c r="Q15" s="2"/>
      <c r="R15" s="2"/>
      <c r="S15" s="92">
        <f>(R15-O15)/O15</f>
        <v>-1</v>
      </c>
    </row>
    <row r="16" spans="1:19" ht="12.75">
      <c r="A16" t="s">
        <v>155</v>
      </c>
      <c r="B16" s="4">
        <v>52.37</v>
      </c>
      <c r="C16" s="2"/>
      <c r="D16" s="2"/>
      <c r="E16" s="2">
        <v>125</v>
      </c>
      <c r="F16" s="2">
        <v>405</v>
      </c>
      <c r="G16" s="2"/>
      <c r="H16" s="2">
        <v>225</v>
      </c>
      <c r="I16" s="2"/>
      <c r="J16" s="2"/>
      <c r="K16" s="2">
        <v>345</v>
      </c>
      <c r="L16" s="2"/>
      <c r="M16" s="2"/>
      <c r="N16" s="2"/>
      <c r="O16" s="2"/>
      <c r="P16" s="2"/>
      <c r="Q16" s="2"/>
      <c r="R16" s="2"/>
      <c r="S16" s="92"/>
    </row>
    <row r="17" spans="1:19" ht="12.75">
      <c r="A17" t="s">
        <v>149</v>
      </c>
      <c r="B17" s="4">
        <v>53.171</v>
      </c>
      <c r="C17" s="2">
        <v>278</v>
      </c>
      <c r="D17" s="2">
        <v>1054</v>
      </c>
      <c r="E17" s="2">
        <v>221</v>
      </c>
      <c r="F17" s="2">
        <v>749</v>
      </c>
      <c r="G17" s="2">
        <v>244</v>
      </c>
      <c r="H17" s="2">
        <v>379</v>
      </c>
      <c r="I17" s="2">
        <v>100</v>
      </c>
      <c r="J17" s="2">
        <v>372</v>
      </c>
      <c r="K17" s="2">
        <v>49</v>
      </c>
      <c r="L17" s="2">
        <v>219</v>
      </c>
      <c r="M17" s="2">
        <v>107</v>
      </c>
      <c r="N17" s="2">
        <v>300</v>
      </c>
      <c r="O17" s="2">
        <v>500</v>
      </c>
      <c r="P17" s="2">
        <v>500</v>
      </c>
      <c r="Q17" s="2">
        <v>400</v>
      </c>
      <c r="R17" s="2">
        <v>400</v>
      </c>
      <c r="S17" s="92">
        <f>(R17-O17)/O17</f>
        <v>-0.2</v>
      </c>
    </row>
    <row r="18" spans="1:19" ht="12.75">
      <c r="A18" t="s">
        <v>673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  <c r="O18" s="2"/>
      <c r="P18" s="2"/>
      <c r="Q18" s="2"/>
      <c r="R18" s="2"/>
      <c r="S18" s="92"/>
    </row>
    <row r="19" spans="2:19" ht="12.75">
      <c r="B19" s="4"/>
      <c r="C19" s="2"/>
      <c r="D19" s="2"/>
      <c r="E19" s="2"/>
      <c r="F19" s="2"/>
      <c r="G19" s="2"/>
      <c r="H19" s="2">
        <v>45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52"/>
    </row>
    <row r="20" spans="1:19" ht="12.75">
      <c r="A20" t="s">
        <v>860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>
        <v>168</v>
      </c>
      <c r="M20" s="2"/>
      <c r="N20" s="2">
        <v>3300</v>
      </c>
      <c r="O20" s="2">
        <v>3300</v>
      </c>
      <c r="P20" s="2">
        <v>3300</v>
      </c>
      <c r="Q20" s="2">
        <v>3300</v>
      </c>
      <c r="R20" s="2">
        <v>3300</v>
      </c>
      <c r="S20" s="52"/>
    </row>
    <row r="21" spans="1:19" ht="12.75">
      <c r="A21" t="s">
        <v>377</v>
      </c>
      <c r="B21" s="4">
        <v>54.25</v>
      </c>
      <c r="C21" s="2"/>
      <c r="D21" s="2"/>
      <c r="E21" s="2"/>
      <c r="F21" s="2">
        <v>495</v>
      </c>
      <c r="G21" s="2"/>
      <c r="H21" s="2"/>
      <c r="I21" s="2"/>
      <c r="J21" s="2"/>
      <c r="K21" s="2"/>
      <c r="L21" s="2"/>
      <c r="M21" s="2"/>
      <c r="N21" s="2">
        <f t="shared" si="0"/>
        <v>0</v>
      </c>
      <c r="O21" s="2"/>
      <c r="P21" s="2"/>
      <c r="Q21" s="2"/>
      <c r="R21" s="2"/>
      <c r="S21" s="52"/>
    </row>
    <row r="22" spans="1:19" ht="12.75">
      <c r="A22" t="s">
        <v>646</v>
      </c>
      <c r="B22" s="4">
        <v>54.252</v>
      </c>
      <c r="C22" s="2"/>
      <c r="D22" s="2"/>
      <c r="E22" s="2"/>
      <c r="F22" s="2"/>
      <c r="G22" s="2"/>
      <c r="H22" s="2"/>
      <c r="I22" s="2">
        <v>62901</v>
      </c>
      <c r="J22" s="2"/>
      <c r="K22" s="2"/>
      <c r="L22" s="2"/>
      <c r="M22" s="2"/>
      <c r="N22" s="2">
        <f t="shared" si="0"/>
        <v>0</v>
      </c>
      <c r="O22" s="2"/>
      <c r="P22" s="2"/>
      <c r="Q22" s="2"/>
      <c r="R22" s="2"/>
      <c r="S22" s="52"/>
    </row>
    <row r="23" spans="1:19" ht="12.75">
      <c r="A23" t="s">
        <v>749</v>
      </c>
      <c r="B23" s="4">
        <v>54.2525</v>
      </c>
      <c r="C23" s="2"/>
      <c r="D23" s="2"/>
      <c r="E23" s="2"/>
      <c r="F23" s="2"/>
      <c r="G23" s="2"/>
      <c r="H23" s="2"/>
      <c r="I23" s="2"/>
      <c r="J23" s="2">
        <v>6000</v>
      </c>
      <c r="K23" s="2"/>
      <c r="L23" s="2"/>
      <c r="M23" s="2"/>
      <c r="N23" s="2"/>
      <c r="O23" s="2"/>
      <c r="P23" s="2"/>
      <c r="Q23" s="2"/>
      <c r="R23" s="2"/>
      <c r="S23" s="52"/>
    </row>
    <row r="24" spans="1:19" ht="12.75">
      <c r="A24" t="s">
        <v>580</v>
      </c>
      <c r="B24" s="4">
        <v>54.2615</v>
      </c>
      <c r="C24" s="2"/>
      <c r="D24" s="2"/>
      <c r="E24" s="2"/>
      <c r="F24" s="2"/>
      <c r="G24" s="2"/>
      <c r="H24" s="2">
        <v>16498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52"/>
    </row>
    <row r="25" spans="1:19" ht="12.75">
      <c r="A25" s="6" t="s">
        <v>116</v>
      </c>
      <c r="B25" s="6"/>
      <c r="C25" s="7">
        <f aca="true" t="shared" si="1" ref="C25:I25">SUM(C7:C24)</f>
        <v>25657</v>
      </c>
      <c r="D25" s="8">
        <f t="shared" si="1"/>
        <v>16085</v>
      </c>
      <c r="E25" s="8">
        <f t="shared" si="1"/>
        <v>13612</v>
      </c>
      <c r="F25" s="8">
        <f t="shared" si="1"/>
        <v>16334</v>
      </c>
      <c r="G25" s="8">
        <f t="shared" si="1"/>
        <v>16251</v>
      </c>
      <c r="H25" s="8">
        <f t="shared" si="1"/>
        <v>33752</v>
      </c>
      <c r="I25" s="8">
        <f t="shared" si="1"/>
        <v>78492</v>
      </c>
      <c r="J25" s="8">
        <v>25689</v>
      </c>
      <c r="K25" s="8">
        <f aca="true" t="shared" si="2" ref="K25:R25">SUM(K7:K24)</f>
        <v>20498</v>
      </c>
      <c r="L25" s="8">
        <v>21898</v>
      </c>
      <c r="M25" s="8">
        <f t="shared" si="2"/>
        <v>18240</v>
      </c>
      <c r="N25" s="8">
        <f t="shared" si="2"/>
        <v>25875.600000000002</v>
      </c>
      <c r="O25" s="8">
        <f t="shared" si="2"/>
        <v>26804.7375</v>
      </c>
      <c r="P25" s="8">
        <f t="shared" si="2"/>
        <v>27334.458</v>
      </c>
      <c r="Q25" s="8">
        <f t="shared" si="2"/>
        <v>26784.11352</v>
      </c>
      <c r="R25" s="8">
        <f t="shared" si="2"/>
        <v>26784.11352</v>
      </c>
      <c r="S25" s="53">
        <f>(R25-O25)/O25</f>
        <v>-0.0007694154811253161</v>
      </c>
    </row>
    <row r="26" ht="12.75">
      <c r="S26" s="52"/>
    </row>
    <row r="27" spans="1:19" ht="12.75">
      <c r="A27" t="s">
        <v>340</v>
      </c>
      <c r="B27">
        <v>0.25</v>
      </c>
      <c r="O27" s="22" t="s">
        <v>488</v>
      </c>
      <c r="P27" s="22"/>
      <c r="Q27" s="56">
        <f>P25-Q25</f>
        <v>550.3444799999997</v>
      </c>
      <c r="S27" s="52"/>
    </row>
    <row r="28" spans="15:19" ht="12.75">
      <c r="O28" s="22" t="s">
        <v>761</v>
      </c>
      <c r="P28" s="22"/>
      <c r="Q28" s="56">
        <f>O25-Q25</f>
        <v>20.6239800000003</v>
      </c>
      <c r="S28" s="52"/>
    </row>
    <row r="29" spans="15:19" ht="12.75">
      <c r="O29" s="22" t="s">
        <v>436</v>
      </c>
      <c r="P29" s="22"/>
      <c r="Q29" s="56">
        <f>Q25-R25</f>
        <v>0</v>
      </c>
      <c r="S29" s="52"/>
    </row>
    <row r="30" ht="12.75">
      <c r="S30" s="52"/>
    </row>
    <row r="31" spans="1:19" ht="12.75">
      <c r="A31" s="41" t="s">
        <v>124</v>
      </c>
      <c r="B31" s="42">
        <v>33.4215</v>
      </c>
      <c r="C31" s="43">
        <v>1768</v>
      </c>
      <c r="D31" s="43">
        <v>3102</v>
      </c>
      <c r="E31" s="43">
        <v>3100</v>
      </c>
      <c r="F31" s="43"/>
      <c r="G31" s="43"/>
      <c r="H31" s="43"/>
      <c r="I31" s="43">
        <v>6824</v>
      </c>
      <c r="J31" s="43"/>
      <c r="K31" s="43">
        <v>4963</v>
      </c>
      <c r="L31" s="43">
        <v>4963</v>
      </c>
      <c r="S31" s="52"/>
    </row>
    <row r="32" spans="1:19" ht="12.75">
      <c r="A32" t="s">
        <v>860</v>
      </c>
      <c r="B32">
        <v>38.9045</v>
      </c>
      <c r="K32">
        <v>3300</v>
      </c>
      <c r="L32">
        <v>3000</v>
      </c>
      <c r="S32" s="52"/>
    </row>
    <row r="33" spans="1:19" s="22" customFormat="1" ht="12.75">
      <c r="A33" t="s">
        <v>31</v>
      </c>
      <c r="B33"/>
      <c r="C33"/>
      <c r="D33"/>
      <c r="E33"/>
      <c r="F33"/>
      <c r="G33"/>
      <c r="H33"/>
      <c r="I33"/>
      <c r="J33"/>
      <c r="K33"/>
      <c r="L33"/>
      <c r="N33" s="43"/>
      <c r="O33" s="43"/>
      <c r="Q33" s="43"/>
      <c r="R33" s="101"/>
      <c r="S33" s="43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9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12.75">
      <c r="S72" s="2"/>
    </row>
    <row r="73" ht="12.75">
      <c r="S73" s="2"/>
    </row>
    <row r="74" ht="12.75">
      <c r="S74" s="2"/>
    </row>
    <row r="75" ht="12.75">
      <c r="S75" s="2"/>
    </row>
    <row r="76" ht="12.75">
      <c r="S7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W76"/>
  <sheetViews>
    <sheetView zoomScale="75" zoomScaleNormal="75" workbookViewId="0" topLeftCell="A4">
      <pane ySplit="780" topLeftCell="BM1" activePane="bottomLeft" state="split"/>
      <selection pane="topLeft" activeCell="V4" sqref="V1:V16384"/>
      <selection pane="bottomLeft" activeCell="R7" sqref="R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9.140625" style="0" hidden="1" customWidth="1"/>
    <col min="4" max="4" width="8.7109375" style="0" hidden="1" customWidth="1"/>
    <col min="5" max="5" width="9.140625" style="0" hidden="1" customWidth="1"/>
    <col min="6" max="9" width="11.7109375" style="0" hidden="1" customWidth="1"/>
    <col min="10" max="13" width="11.7109375" style="0" customWidth="1"/>
    <col min="14" max="14" width="9.421875" style="0" customWidth="1"/>
    <col min="15" max="15" width="11.7109375" style="0" customWidth="1"/>
    <col min="16" max="16" width="10.421875" style="0" bestFit="1" customWidth="1"/>
    <col min="17" max="18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473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1" ht="12.75">
      <c r="A7" t="s">
        <v>686</v>
      </c>
      <c r="B7" s="4">
        <v>51.11</v>
      </c>
      <c r="C7" s="2">
        <v>350164</v>
      </c>
      <c r="D7" s="2">
        <v>348444</v>
      </c>
      <c r="E7" s="2">
        <v>356289</v>
      </c>
      <c r="F7" s="2">
        <v>346042</v>
      </c>
      <c r="G7" s="2">
        <v>365672</v>
      </c>
      <c r="H7" s="2">
        <v>415844</v>
      </c>
      <c r="I7" s="2">
        <v>415566</v>
      </c>
      <c r="J7" s="2">
        <v>516402</v>
      </c>
      <c r="K7" s="2">
        <v>548960</v>
      </c>
      <c r="L7" s="2">
        <v>633544.8</v>
      </c>
      <c r="M7" s="2"/>
      <c r="N7" s="2">
        <v>120000</v>
      </c>
      <c r="O7" s="2">
        <v>130437.25177500001</v>
      </c>
      <c r="P7" s="20">
        <f>145225+500000+47341</f>
        <v>692566</v>
      </c>
      <c r="Q7" s="20">
        <f>145224.56+500000+47341</f>
        <v>692565.56</v>
      </c>
      <c r="R7" s="20">
        <f>615636.56-U7</f>
        <v>115636.56000000006</v>
      </c>
      <c r="S7" s="92">
        <f>(R7-O7)/O7</f>
        <v>-0.11346982226006007</v>
      </c>
      <c r="T7" s="33" t="s">
        <v>1048</v>
      </c>
      <c r="U7" s="6">
        <v>500000</v>
      </c>
    </row>
    <row r="8" spans="1:23" ht="12.75">
      <c r="A8" t="s">
        <v>152</v>
      </c>
      <c r="B8" s="4">
        <v>51.13</v>
      </c>
      <c r="C8" s="2">
        <v>3843</v>
      </c>
      <c r="D8" s="2">
        <v>4404</v>
      </c>
      <c r="E8" s="2">
        <v>3361</v>
      </c>
      <c r="F8" s="2">
        <v>2452</v>
      </c>
      <c r="G8" s="2">
        <v>3625</v>
      </c>
      <c r="H8" s="2">
        <v>8127</v>
      </c>
      <c r="I8" s="2">
        <v>8791</v>
      </c>
      <c r="J8" s="2">
        <v>11840</v>
      </c>
      <c r="K8" s="2">
        <v>25101</v>
      </c>
      <c r="L8" s="2">
        <v>17174</v>
      </c>
      <c r="M8" s="2">
        <v>11003</v>
      </c>
      <c r="N8" s="2">
        <v>15000</v>
      </c>
      <c r="O8" s="2">
        <v>15000</v>
      </c>
      <c r="P8" s="2">
        <v>15000</v>
      </c>
      <c r="Q8" s="2">
        <v>15000</v>
      </c>
      <c r="R8" s="2">
        <v>15000</v>
      </c>
      <c r="S8" s="92">
        <f>(R8-O8)/O8</f>
        <v>0</v>
      </c>
      <c r="T8" s="33" t="s">
        <v>515</v>
      </c>
      <c r="W8" s="2"/>
    </row>
    <row r="9" spans="1:23" ht="12.75">
      <c r="A9" t="s">
        <v>494</v>
      </c>
      <c r="B9" s="4">
        <v>51.21</v>
      </c>
      <c r="C9" s="2">
        <v>37030</v>
      </c>
      <c r="D9" s="2">
        <v>42069</v>
      </c>
      <c r="E9" s="2">
        <v>51067</v>
      </c>
      <c r="F9" s="2">
        <v>41515</v>
      </c>
      <c r="G9" s="2">
        <v>39738</v>
      </c>
      <c r="H9" s="2">
        <v>46097</v>
      </c>
      <c r="I9" s="2">
        <v>46938</v>
      </c>
      <c r="J9" s="2">
        <v>58636</v>
      </c>
      <c r="K9" s="2">
        <v>74855</v>
      </c>
      <c r="L9" s="2">
        <v>85701</v>
      </c>
      <c r="M9" s="2">
        <v>73875</v>
      </c>
      <c r="N9" s="2">
        <f>+M9/$M$3*12</f>
        <v>88650</v>
      </c>
      <c r="O9" s="31">
        <v>105600</v>
      </c>
      <c r="P9" s="31">
        <v>118080</v>
      </c>
      <c r="Q9" s="31">
        <f>24*4920</f>
        <v>118080</v>
      </c>
      <c r="R9" s="31">
        <f>(19*4920)+((5/12)*3*4920)</f>
        <v>99630</v>
      </c>
      <c r="S9" s="92">
        <f>(R9-O9)/O9</f>
        <v>-0.05653409090909091</v>
      </c>
      <c r="T9" s="33" t="s">
        <v>1049</v>
      </c>
      <c r="U9" s="6"/>
      <c r="W9" s="2"/>
    </row>
    <row r="10" spans="1:23" ht="12.75">
      <c r="A10" t="s">
        <v>139</v>
      </c>
      <c r="B10" s="4">
        <v>51.22</v>
      </c>
      <c r="C10" s="2">
        <v>26747</v>
      </c>
      <c r="D10" s="2">
        <v>26518</v>
      </c>
      <c r="E10" s="2">
        <v>26334</v>
      </c>
      <c r="F10" s="2">
        <v>26476</v>
      </c>
      <c r="G10" s="2">
        <v>26681</v>
      </c>
      <c r="H10" s="2">
        <v>31531</v>
      </c>
      <c r="I10" s="2">
        <v>30912</v>
      </c>
      <c r="J10" s="2">
        <v>38692</v>
      </c>
      <c r="K10" s="2">
        <v>42220</v>
      </c>
      <c r="L10" s="2">
        <v>47953.82</v>
      </c>
      <c r="M10" s="2"/>
      <c r="N10" s="2">
        <v>10000</v>
      </c>
      <c r="O10" s="2">
        <v>11125.9497607875</v>
      </c>
      <c r="P10" s="20">
        <f>(P7+P8)*0.0765</f>
        <v>54128.799</v>
      </c>
      <c r="Q10" s="20">
        <f>(Q7+Q8)*0.0765</f>
        <v>54128.765340000005</v>
      </c>
      <c r="R10" s="20">
        <f>(R7+R8)*0.0765</f>
        <v>9993.696840000004</v>
      </c>
      <c r="S10" s="92">
        <f>(R10-O10)/O10</f>
        <v>-0.10176685542640401</v>
      </c>
      <c r="T10" s="33" t="s">
        <v>1050</v>
      </c>
      <c r="U10" s="6">
        <f>U7*0.0765</f>
        <v>38250</v>
      </c>
      <c r="V10" s="2"/>
      <c r="W10" s="2"/>
    </row>
    <row r="11" spans="1:23" ht="12.75">
      <c r="A11" t="s">
        <v>153</v>
      </c>
      <c r="B11" s="4">
        <v>51.24</v>
      </c>
      <c r="C11" s="2">
        <v>6241</v>
      </c>
      <c r="D11" s="2">
        <v>6378</v>
      </c>
      <c r="E11" s="2">
        <v>6944</v>
      </c>
      <c r="F11" s="2">
        <v>5695</v>
      </c>
      <c r="G11" s="2">
        <v>5683</v>
      </c>
      <c r="H11" s="2">
        <v>6855</v>
      </c>
      <c r="I11" s="2">
        <v>7806</v>
      </c>
      <c r="J11" s="2">
        <v>8650</v>
      </c>
      <c r="K11" s="2">
        <v>9702</v>
      </c>
      <c r="L11" s="2">
        <v>10972</v>
      </c>
      <c r="M11" s="2">
        <v>3645.92</v>
      </c>
      <c r="N11" s="2">
        <v>3646</v>
      </c>
      <c r="O11" s="2">
        <v>14000</v>
      </c>
      <c r="P11" s="2">
        <v>11400</v>
      </c>
      <c r="Q11" s="2">
        <v>11400</v>
      </c>
      <c r="R11" s="2">
        <v>11400</v>
      </c>
      <c r="S11" s="92">
        <f>(R11-O11)/O11</f>
        <v>-0.18571428571428572</v>
      </c>
      <c r="U11" s="2"/>
      <c r="W11" s="2"/>
    </row>
    <row r="12" spans="1:23" ht="12.75">
      <c r="A12" t="s">
        <v>740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2650</v>
      </c>
      <c r="N12" s="2"/>
      <c r="O12" s="2"/>
      <c r="P12" s="2"/>
      <c r="Q12" s="2"/>
      <c r="R12" s="2"/>
      <c r="S12" s="92"/>
      <c r="U12" s="2"/>
      <c r="W12" s="2"/>
    </row>
    <row r="13" spans="2:19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2"/>
    </row>
    <row r="14" spans="1:20" ht="12.75">
      <c r="A14" t="s">
        <v>206</v>
      </c>
      <c r="B14" s="4">
        <v>52.121</v>
      </c>
      <c r="C14" s="2"/>
      <c r="D14" s="2"/>
      <c r="E14" s="2"/>
      <c r="F14" s="2"/>
      <c r="G14" s="2"/>
      <c r="H14" s="2"/>
      <c r="I14" s="2">
        <f>645+303</f>
        <v>948</v>
      </c>
      <c r="J14" s="2">
        <v>1364</v>
      </c>
      <c r="K14" s="2">
        <v>980</v>
      </c>
      <c r="L14" s="2">
        <v>215</v>
      </c>
      <c r="M14" s="11">
        <v>35</v>
      </c>
      <c r="N14" s="2">
        <v>500</v>
      </c>
      <c r="O14" s="2">
        <v>500</v>
      </c>
      <c r="P14" s="2">
        <v>500</v>
      </c>
      <c r="Q14" s="2">
        <v>500</v>
      </c>
      <c r="R14" s="2">
        <v>500</v>
      </c>
      <c r="S14" s="92"/>
      <c r="T14" s="2"/>
    </row>
    <row r="15" spans="1:19" ht="12.75">
      <c r="A15" s="33" t="s">
        <v>358</v>
      </c>
      <c r="B15" s="4">
        <v>52.1221</v>
      </c>
      <c r="C15" s="2"/>
      <c r="D15" s="2"/>
      <c r="E15" s="2"/>
      <c r="F15" s="2"/>
      <c r="G15" s="2">
        <v>1806</v>
      </c>
      <c r="H15" s="2"/>
      <c r="I15" s="2"/>
      <c r="J15" s="2">
        <v>850</v>
      </c>
      <c r="K15" s="2">
        <v>375</v>
      </c>
      <c r="L15" s="2">
        <v>789</v>
      </c>
      <c r="M15" s="11"/>
      <c r="N15" s="2">
        <v>1000</v>
      </c>
      <c r="O15" s="2">
        <v>1000</v>
      </c>
      <c r="P15" s="2">
        <v>1000</v>
      </c>
      <c r="Q15" s="2">
        <v>1000</v>
      </c>
      <c r="R15" s="2">
        <v>1000</v>
      </c>
      <c r="S15" s="92">
        <f>(R15-O15)/O15</f>
        <v>0</v>
      </c>
    </row>
    <row r="16" spans="1:20" ht="12.75">
      <c r="A16" t="s">
        <v>258</v>
      </c>
      <c r="B16" s="4">
        <v>52.215</v>
      </c>
      <c r="C16" s="2">
        <v>134875</v>
      </c>
      <c r="D16" s="2">
        <v>151086</v>
      </c>
      <c r="E16" s="2">
        <v>199256</v>
      </c>
      <c r="F16" s="2">
        <v>162000</v>
      </c>
      <c r="G16" s="2">
        <v>71855</v>
      </c>
      <c r="H16" s="2">
        <v>145267</v>
      </c>
      <c r="I16" s="2">
        <f>103139+6632</f>
        <v>109771</v>
      </c>
      <c r="J16" s="2">
        <v>133670</v>
      </c>
      <c r="K16" s="2">
        <v>120261</v>
      </c>
      <c r="L16" s="2">
        <v>38915</v>
      </c>
      <c r="M16" s="11"/>
      <c r="N16" s="2"/>
      <c r="O16" s="2"/>
      <c r="P16" s="2"/>
      <c r="Q16" s="2"/>
      <c r="R16" s="2"/>
      <c r="S16" s="92" t="e">
        <f>(R16-O16)/O16</f>
        <v>#DIV/0!</v>
      </c>
      <c r="T16" t="s">
        <v>376</v>
      </c>
    </row>
    <row r="17" spans="1:19" ht="12.75">
      <c r="A17" t="s">
        <v>185</v>
      </c>
      <c r="B17" s="4">
        <v>52.2206</v>
      </c>
      <c r="C17" s="2">
        <v>7456</v>
      </c>
      <c r="D17" s="2">
        <v>11240</v>
      </c>
      <c r="E17" s="2">
        <v>3400</v>
      </c>
      <c r="F17" s="2">
        <v>5487</v>
      </c>
      <c r="G17" s="2">
        <v>10835</v>
      </c>
      <c r="H17" s="2">
        <v>2828</v>
      </c>
      <c r="I17" s="2">
        <v>3714</v>
      </c>
      <c r="J17" s="2">
        <v>3635</v>
      </c>
      <c r="K17" s="2">
        <v>3975</v>
      </c>
      <c r="L17" s="2">
        <v>4669</v>
      </c>
      <c r="M17" s="11">
        <v>1044</v>
      </c>
      <c r="N17" s="2">
        <f>+M17/$M$3*12</f>
        <v>1252.8000000000002</v>
      </c>
      <c r="O17" s="2">
        <v>5000</v>
      </c>
      <c r="P17" s="2">
        <v>5000</v>
      </c>
      <c r="Q17" s="2">
        <v>5000</v>
      </c>
      <c r="R17" s="2">
        <v>5000</v>
      </c>
      <c r="S17" s="92">
        <v>0</v>
      </c>
    </row>
    <row r="18" spans="1:19" ht="12.75">
      <c r="A18" t="s">
        <v>141</v>
      </c>
      <c r="B18" s="4">
        <v>52.32</v>
      </c>
      <c r="C18" s="2">
        <v>703</v>
      </c>
      <c r="D18" s="2">
        <v>772</v>
      </c>
      <c r="E18" s="2">
        <v>786</v>
      </c>
      <c r="F18" s="2">
        <v>1116</v>
      </c>
      <c r="G18" s="2">
        <v>1079</v>
      </c>
      <c r="H18" s="2">
        <v>1102</v>
      </c>
      <c r="I18" s="2">
        <v>1499</v>
      </c>
      <c r="J18" s="2">
        <v>1345</v>
      </c>
      <c r="K18" s="2">
        <v>1338</v>
      </c>
      <c r="L18" s="2">
        <v>1757</v>
      </c>
      <c r="M18" s="11">
        <v>1465</v>
      </c>
      <c r="N18" s="2">
        <f>+M18/$M$3*12</f>
        <v>1758</v>
      </c>
      <c r="O18" s="2">
        <v>1500</v>
      </c>
      <c r="P18" s="2">
        <v>1500</v>
      </c>
      <c r="Q18" s="2">
        <v>1500</v>
      </c>
      <c r="R18" s="2">
        <v>1500</v>
      </c>
      <c r="S18" s="92">
        <f>(R18-O18)/O18</f>
        <v>0</v>
      </c>
    </row>
    <row r="19" spans="1:19" ht="12.75" hidden="1">
      <c r="A19" t="s">
        <v>142</v>
      </c>
      <c r="B19" s="4">
        <v>52.321</v>
      </c>
      <c r="C19" s="2"/>
      <c r="D19" s="2"/>
      <c r="E19" s="2">
        <v>100</v>
      </c>
      <c r="F19" s="2"/>
      <c r="G19" s="2">
        <v>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2"/>
    </row>
    <row r="20" spans="1:19" ht="12.75" hidden="1">
      <c r="A20" t="s">
        <v>154</v>
      </c>
      <c r="B20" s="4">
        <v>52.35</v>
      </c>
      <c r="C20" s="2">
        <v>321</v>
      </c>
      <c r="D20" s="2">
        <v>300</v>
      </c>
      <c r="E20" s="2">
        <v>297</v>
      </c>
      <c r="F20" s="2"/>
      <c r="G20" s="2">
        <v>107</v>
      </c>
      <c r="H20" s="2"/>
      <c r="I20" s="2">
        <v>5</v>
      </c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 hidden="1">
      <c r="A21" t="s">
        <v>581</v>
      </c>
      <c r="B21" s="4">
        <v>52.37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2"/>
    </row>
    <row r="22" spans="1:19" ht="12.75" hidden="1">
      <c r="A22" t="s">
        <v>401</v>
      </c>
      <c r="B22" s="4"/>
      <c r="C22" s="2"/>
      <c r="D22" s="2"/>
      <c r="E22" s="2"/>
      <c r="F22" s="2"/>
      <c r="G22" s="2"/>
      <c r="H22" s="2"/>
      <c r="I22" s="2"/>
      <c r="J22" s="2"/>
      <c r="K22" s="2">
        <v>5</v>
      </c>
      <c r="L22" s="2"/>
      <c r="M22" s="2"/>
      <c r="N22" s="2"/>
      <c r="O22" s="2"/>
      <c r="P22" s="2"/>
      <c r="Q22" s="2"/>
      <c r="R22" s="2"/>
      <c r="S22" s="92"/>
    </row>
    <row r="23" spans="2:19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2"/>
    </row>
    <row r="24" spans="1:19" ht="12.75">
      <c r="A24" t="s">
        <v>148</v>
      </c>
      <c r="B24" s="4">
        <v>53.12</v>
      </c>
      <c r="C24" s="2">
        <v>3702</v>
      </c>
      <c r="D24" s="2">
        <v>3067</v>
      </c>
      <c r="E24" s="2">
        <v>3235</v>
      </c>
      <c r="F24" s="2">
        <v>4961</v>
      </c>
      <c r="G24" s="2">
        <v>5953</v>
      </c>
      <c r="H24" s="2">
        <v>6204</v>
      </c>
      <c r="I24" s="2">
        <v>6225</v>
      </c>
      <c r="J24" s="2">
        <v>5204</v>
      </c>
      <c r="K24" s="2">
        <v>6000</v>
      </c>
      <c r="L24" s="2">
        <v>6637</v>
      </c>
      <c r="M24" s="2">
        <v>4520</v>
      </c>
      <c r="N24" s="2">
        <f>+M24/$M$3*12</f>
        <v>5424</v>
      </c>
      <c r="O24" s="2">
        <v>5200</v>
      </c>
      <c r="P24" s="2">
        <v>5200</v>
      </c>
      <c r="Q24" s="2">
        <v>5200</v>
      </c>
      <c r="R24" s="2">
        <v>5200</v>
      </c>
      <c r="S24" s="92">
        <f>(R24-O24)/O24</f>
        <v>0</v>
      </c>
    </row>
    <row r="25" spans="1:19" ht="12.75" hidden="1">
      <c r="A25" t="s">
        <v>255</v>
      </c>
      <c r="B25" s="4">
        <v>53.17</v>
      </c>
      <c r="C25" s="2"/>
      <c r="D25" s="2"/>
      <c r="E25" s="2"/>
      <c r="F25" s="2">
        <v>1179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2"/>
    </row>
    <row r="26" spans="1:19" ht="0.75" customHeight="1" hidden="1">
      <c r="A26" t="s">
        <v>200</v>
      </c>
      <c r="B26" s="4">
        <v>53.1702</v>
      </c>
      <c r="C26" s="2">
        <v>135</v>
      </c>
      <c r="D26" s="2">
        <v>51</v>
      </c>
      <c r="E26" s="2">
        <v>8</v>
      </c>
      <c r="F26" s="2">
        <v>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2"/>
    </row>
    <row r="27" spans="1:20" ht="12.75">
      <c r="A27" t="s">
        <v>259</v>
      </c>
      <c r="B27" s="4">
        <v>53.1703</v>
      </c>
      <c r="C27" s="2">
        <v>2921</v>
      </c>
      <c r="D27" s="2">
        <v>3763</v>
      </c>
      <c r="E27" s="2">
        <v>2949</v>
      </c>
      <c r="F27" s="2">
        <v>3092</v>
      </c>
      <c r="G27" s="2">
        <v>4363</v>
      </c>
      <c r="H27" s="2">
        <v>5170</v>
      </c>
      <c r="I27" s="2">
        <v>1573</v>
      </c>
      <c r="J27" s="2">
        <v>1527</v>
      </c>
      <c r="K27" s="2">
        <v>636</v>
      </c>
      <c r="L27" s="2">
        <v>2900</v>
      </c>
      <c r="M27" s="2">
        <v>217</v>
      </c>
      <c r="N27" s="2">
        <f>+M27/$M$3*12</f>
        <v>260.4</v>
      </c>
      <c r="O27" s="2">
        <v>1000</v>
      </c>
      <c r="P27" s="2">
        <v>1000</v>
      </c>
      <c r="Q27" s="2">
        <v>1000</v>
      </c>
      <c r="R27" s="2">
        <v>1000</v>
      </c>
      <c r="S27" s="92">
        <f>(R27-O27)/O27</f>
        <v>0</v>
      </c>
      <c r="T27" s="10"/>
    </row>
    <row r="28" spans="1:19" ht="12.75">
      <c r="A28" t="s">
        <v>149</v>
      </c>
      <c r="B28" s="4">
        <v>53.171</v>
      </c>
      <c r="C28" s="2">
        <v>520</v>
      </c>
      <c r="D28" s="2">
        <v>669</v>
      </c>
      <c r="E28" s="2">
        <v>924</v>
      </c>
      <c r="F28" s="2">
        <v>513</v>
      </c>
      <c r="G28" s="2">
        <v>703</v>
      </c>
      <c r="H28" s="2">
        <v>88</v>
      </c>
      <c r="I28" s="2">
        <f>100+394</f>
        <v>494</v>
      </c>
      <c r="J28" s="2">
        <v>552</v>
      </c>
      <c r="K28" s="2">
        <v>67</v>
      </c>
      <c r="L28" s="2">
        <v>591</v>
      </c>
      <c r="M28" s="2">
        <v>22</v>
      </c>
      <c r="N28" s="2">
        <f>+M28/$M$3*12</f>
        <v>26.400000000000002</v>
      </c>
      <c r="O28" s="2">
        <v>500</v>
      </c>
      <c r="P28" s="2">
        <v>500</v>
      </c>
      <c r="Q28" s="2">
        <v>500</v>
      </c>
      <c r="R28" s="2">
        <v>500</v>
      </c>
      <c r="S28" s="92">
        <f>(R28-O28)/O28</f>
        <v>0</v>
      </c>
    </row>
    <row r="29" spans="1:19" ht="12.75" hidden="1">
      <c r="A29" t="s">
        <v>260</v>
      </c>
      <c r="B29" s="4">
        <v>53.172</v>
      </c>
      <c r="C29" s="2">
        <v>293</v>
      </c>
      <c r="D29" s="2">
        <v>236</v>
      </c>
      <c r="E29" s="2">
        <v>63</v>
      </c>
      <c r="F29" s="2"/>
      <c r="G29" s="2"/>
      <c r="H29" s="2">
        <v>86</v>
      </c>
      <c r="I29" s="2">
        <f>2+209</f>
        <v>211</v>
      </c>
      <c r="J29" s="2"/>
      <c r="K29" s="2"/>
      <c r="L29" s="2"/>
      <c r="M29" s="2"/>
      <c r="N29" s="2"/>
      <c r="O29" s="2"/>
      <c r="P29" s="2"/>
      <c r="Q29" s="2"/>
      <c r="R29" s="2"/>
      <c r="S29" s="92"/>
    </row>
    <row r="30" spans="1:19" ht="12.75">
      <c r="A30" t="s">
        <v>240</v>
      </c>
      <c r="B30" s="4">
        <v>53.174</v>
      </c>
      <c r="C30" s="2">
        <v>5090</v>
      </c>
      <c r="D30" s="2">
        <v>5008</v>
      </c>
      <c r="E30" s="2">
        <v>4466</v>
      </c>
      <c r="F30" s="2">
        <v>4226</v>
      </c>
      <c r="G30" s="2">
        <v>3890</v>
      </c>
      <c r="H30" s="2">
        <v>4618</v>
      </c>
      <c r="I30" s="2">
        <f>4729+91</f>
        <v>4820</v>
      </c>
      <c r="J30" s="2">
        <v>6773</v>
      </c>
      <c r="K30" s="2">
        <f>7384+70</f>
        <v>7454</v>
      </c>
      <c r="L30" s="2">
        <v>7784</v>
      </c>
      <c r="M30" s="2">
        <v>5979</v>
      </c>
      <c r="N30" s="2">
        <f>+M30/$M$3*12</f>
        <v>7174.799999999999</v>
      </c>
      <c r="O30" s="2">
        <v>7000</v>
      </c>
      <c r="P30" s="2">
        <v>7000</v>
      </c>
      <c r="Q30" s="2">
        <v>7000</v>
      </c>
      <c r="R30" s="2">
        <v>7000</v>
      </c>
      <c r="S30" s="92">
        <f>(R30-O30)/O30</f>
        <v>0</v>
      </c>
    </row>
    <row r="31" spans="1:19" ht="12.75">
      <c r="A31" t="s">
        <v>188</v>
      </c>
      <c r="B31" s="4">
        <v>53.175</v>
      </c>
      <c r="C31" s="2">
        <v>55403</v>
      </c>
      <c r="D31" s="2">
        <v>40563</v>
      </c>
      <c r="E31" s="2">
        <v>54554</v>
      </c>
      <c r="F31" s="2">
        <v>76315</v>
      </c>
      <c r="G31" s="2">
        <v>67426</v>
      </c>
      <c r="H31" s="2">
        <v>58442</v>
      </c>
      <c r="I31" s="2">
        <v>60165</v>
      </c>
      <c r="J31" s="2">
        <v>85308</v>
      </c>
      <c r="K31" s="2">
        <f>102928+503</f>
        <v>103431</v>
      </c>
      <c r="L31" s="2">
        <v>114371</v>
      </c>
      <c r="M31" s="2">
        <v>54070</v>
      </c>
      <c r="N31" s="2">
        <f>+M31/$M$3*12</f>
        <v>64884</v>
      </c>
      <c r="O31" s="2">
        <v>100000</v>
      </c>
      <c r="P31" s="2">
        <v>100000</v>
      </c>
      <c r="Q31" s="2">
        <v>100000</v>
      </c>
      <c r="R31" s="2">
        <v>100000</v>
      </c>
      <c r="S31" s="92">
        <f>(R31-O31)/O31</f>
        <v>0</v>
      </c>
    </row>
    <row r="32" spans="1:20" ht="12.75" hidden="1">
      <c r="A32" t="s">
        <v>261</v>
      </c>
      <c r="B32" s="4">
        <v>53.1755</v>
      </c>
      <c r="C32" s="2">
        <v>5027</v>
      </c>
      <c r="D32" s="2">
        <v>4881</v>
      </c>
      <c r="E32" s="2"/>
      <c r="F32" s="2">
        <v>1224</v>
      </c>
      <c r="G32" s="2">
        <v>10525</v>
      </c>
      <c r="H32" s="2">
        <v>15374</v>
      </c>
      <c r="I32" s="2">
        <v>3708</v>
      </c>
      <c r="J32" s="2"/>
      <c r="K32" s="2"/>
      <c r="L32" s="2"/>
      <c r="M32" s="2"/>
      <c r="N32" s="2"/>
      <c r="O32" s="2"/>
      <c r="P32" s="2"/>
      <c r="Q32" s="2"/>
      <c r="R32" s="2"/>
      <c r="S32" s="92"/>
      <c r="T32" t="s">
        <v>954</v>
      </c>
    </row>
    <row r="33" spans="1:19" ht="12.75">
      <c r="A33" t="s">
        <v>177</v>
      </c>
      <c r="B33" s="4">
        <v>53.176</v>
      </c>
      <c r="C33" s="2">
        <v>3958</v>
      </c>
      <c r="D33" s="2">
        <v>3425</v>
      </c>
      <c r="E33" s="2">
        <v>3061</v>
      </c>
      <c r="F33" s="2">
        <v>3298</v>
      </c>
      <c r="G33" s="2">
        <v>4399</v>
      </c>
      <c r="H33" s="2">
        <v>4063</v>
      </c>
      <c r="I33" s="2">
        <v>5798</v>
      </c>
      <c r="J33" s="2">
        <v>5993</v>
      </c>
      <c r="K33" s="2">
        <v>6147</v>
      </c>
      <c r="L33" s="2">
        <v>6487</v>
      </c>
      <c r="M33" s="2">
        <v>4799</v>
      </c>
      <c r="N33" s="2">
        <f>+M33/$M$3*12</f>
        <v>5758.799999999999</v>
      </c>
      <c r="O33" s="2">
        <v>6200</v>
      </c>
      <c r="P33" s="2">
        <v>6200</v>
      </c>
      <c r="Q33" s="2">
        <v>6200</v>
      </c>
      <c r="R33" s="2">
        <v>6200</v>
      </c>
      <c r="S33" s="92">
        <f>(R33-O33)/O33</f>
        <v>0</v>
      </c>
    </row>
    <row r="34" spans="1:19" ht="12.75">
      <c r="A34" t="s">
        <v>178</v>
      </c>
      <c r="B34" s="4">
        <v>53.177</v>
      </c>
      <c r="C34" s="2">
        <v>10754</v>
      </c>
      <c r="D34" s="2">
        <v>14729</v>
      </c>
      <c r="E34" s="2">
        <v>10095</v>
      </c>
      <c r="F34" s="2">
        <v>18449</v>
      </c>
      <c r="G34" s="2">
        <v>11878</v>
      </c>
      <c r="H34" s="2">
        <v>13014</v>
      </c>
      <c r="I34" s="2">
        <v>13202</v>
      </c>
      <c r="J34" s="2">
        <v>34984</v>
      </c>
      <c r="K34" s="2">
        <v>16647</v>
      </c>
      <c r="L34" s="2">
        <v>35055</v>
      </c>
      <c r="M34" s="2">
        <v>8975</v>
      </c>
      <c r="N34" s="2">
        <f>+M34/$M$3*12</f>
        <v>10770</v>
      </c>
      <c r="O34" s="2">
        <v>20000</v>
      </c>
      <c r="P34" s="2">
        <v>20000</v>
      </c>
      <c r="Q34" s="2">
        <v>20000</v>
      </c>
      <c r="R34" s="2">
        <v>20000</v>
      </c>
      <c r="S34" s="92">
        <f>(R34-O34)/O34</f>
        <v>0</v>
      </c>
    </row>
    <row r="35" spans="1:19" ht="12.75">
      <c r="A35" t="s">
        <v>191</v>
      </c>
      <c r="B35" s="4">
        <v>53.178</v>
      </c>
      <c r="C35" s="2">
        <v>2791</v>
      </c>
      <c r="D35" s="2">
        <v>2029</v>
      </c>
      <c r="E35" s="2">
        <v>2068</v>
      </c>
      <c r="F35" s="2">
        <v>1588</v>
      </c>
      <c r="G35" s="2">
        <v>2619</v>
      </c>
      <c r="H35" s="2">
        <v>1055</v>
      </c>
      <c r="I35" s="2">
        <v>2156</v>
      </c>
      <c r="J35" s="2">
        <v>1004</v>
      </c>
      <c r="K35" s="2">
        <v>2428</v>
      </c>
      <c r="L35" s="2">
        <v>2741</v>
      </c>
      <c r="M35" s="2">
        <v>1845.35</v>
      </c>
      <c r="N35" s="2">
        <f>+M35/$M$3*12</f>
        <v>2214.42</v>
      </c>
      <c r="O35" s="2">
        <v>1500</v>
      </c>
      <c r="P35" s="2">
        <v>1500</v>
      </c>
      <c r="Q35" s="2">
        <v>1500</v>
      </c>
      <c r="R35" s="2">
        <v>1500</v>
      </c>
      <c r="S35" s="92">
        <f>(R35-O35)/O35</f>
        <v>0</v>
      </c>
    </row>
    <row r="36" spans="1:19" ht="12.75">
      <c r="A36" t="s">
        <v>179</v>
      </c>
      <c r="B36" s="4">
        <v>53.179</v>
      </c>
      <c r="C36" s="2">
        <v>3827</v>
      </c>
      <c r="D36" s="2">
        <v>6560</v>
      </c>
      <c r="E36" s="2">
        <v>6528</v>
      </c>
      <c r="F36" s="2">
        <v>4765</v>
      </c>
      <c r="G36" s="2">
        <v>8679</v>
      </c>
      <c r="H36" s="2">
        <v>11008</v>
      </c>
      <c r="I36" s="2">
        <v>13425</v>
      </c>
      <c r="J36" s="2">
        <v>19201</v>
      </c>
      <c r="K36" s="2">
        <v>18052</v>
      </c>
      <c r="L36" s="2">
        <v>30072</v>
      </c>
      <c r="M36" s="2">
        <v>17450</v>
      </c>
      <c r="N36" s="2">
        <f>+M36/$M$3*12</f>
        <v>20940</v>
      </c>
      <c r="O36" s="2">
        <v>23000</v>
      </c>
      <c r="P36" s="2">
        <v>23000</v>
      </c>
      <c r="Q36" s="2">
        <v>23000</v>
      </c>
      <c r="R36" s="2">
        <v>23000</v>
      </c>
      <c r="S36" s="92">
        <f>(R36-O36)/O36</f>
        <v>0</v>
      </c>
    </row>
    <row r="37" spans="1:20" ht="12.75">
      <c r="A37" t="s">
        <v>242</v>
      </c>
      <c r="B37" s="4">
        <v>53.18</v>
      </c>
      <c r="C37" s="2">
        <v>19524</v>
      </c>
      <c r="D37" s="2">
        <v>32914</v>
      </c>
      <c r="E37" s="2">
        <v>29222</v>
      </c>
      <c r="F37" s="2">
        <v>22406</v>
      </c>
      <c r="G37" s="2">
        <v>30330</v>
      </c>
      <c r="H37" s="2">
        <v>29659</v>
      </c>
      <c r="I37" s="2">
        <v>56080</v>
      </c>
      <c r="J37" s="2">
        <v>98898</v>
      </c>
      <c r="K37" s="2">
        <v>105406</v>
      </c>
      <c r="L37" s="2">
        <v>169757</v>
      </c>
      <c r="M37" s="2">
        <v>60011</v>
      </c>
      <c r="N37" s="2">
        <f>+M37/$M$3*12</f>
        <v>72013.20000000001</v>
      </c>
      <c r="O37" s="2">
        <v>150000</v>
      </c>
      <c r="P37" s="2">
        <v>110000</v>
      </c>
      <c r="Q37" s="2">
        <v>110000</v>
      </c>
      <c r="R37" s="2">
        <v>90000</v>
      </c>
      <c r="S37" s="92">
        <f>(R37-O37)/O37</f>
        <v>-0.4</v>
      </c>
      <c r="T37" t="s">
        <v>515</v>
      </c>
    </row>
    <row r="38" spans="2:19" ht="12.7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2"/>
    </row>
    <row r="39" spans="1:19" ht="3" customHeight="1" hidden="1">
      <c r="A39" t="s">
        <v>254</v>
      </c>
      <c r="B39" s="4">
        <v>54.12</v>
      </c>
      <c r="C39" s="2"/>
      <c r="D39" s="2"/>
      <c r="E39" s="2"/>
      <c r="F39" s="2">
        <v>2618</v>
      </c>
      <c r="G39" s="2"/>
      <c r="H39" s="2"/>
      <c r="I39" s="2"/>
      <c r="J39" s="2"/>
      <c r="K39" s="2"/>
      <c r="L39" s="2"/>
      <c r="M39" s="2"/>
      <c r="N39" s="2">
        <f>+M39/$M$3*12</f>
        <v>0</v>
      </c>
      <c r="O39" s="2"/>
      <c r="P39" s="2"/>
      <c r="Q39" s="2"/>
      <c r="R39" s="2"/>
      <c r="S39" s="52"/>
    </row>
    <row r="40" spans="1:19" ht="12.75" hidden="1">
      <c r="A40" t="s">
        <v>262</v>
      </c>
      <c r="B40" s="4">
        <v>54.21</v>
      </c>
      <c r="C40" s="2"/>
      <c r="D40" s="2">
        <v>2600</v>
      </c>
      <c r="E40" s="2">
        <v>3049</v>
      </c>
      <c r="F40" s="2">
        <v>11519</v>
      </c>
      <c r="G40" s="2"/>
      <c r="H40" s="2"/>
      <c r="I40" s="2"/>
      <c r="J40" s="2"/>
      <c r="K40" s="2"/>
      <c r="L40" s="2"/>
      <c r="M40" s="2"/>
      <c r="N40" s="2">
        <f>+M40/$M$3*12</f>
        <v>0</v>
      </c>
      <c r="O40" s="2"/>
      <c r="P40" s="2"/>
      <c r="Q40" s="2"/>
      <c r="R40" s="2"/>
      <c r="S40" s="52"/>
    </row>
    <row r="41" spans="1:19" ht="12.75">
      <c r="A41" t="s">
        <v>329</v>
      </c>
      <c r="B41" s="4">
        <v>54.22</v>
      </c>
      <c r="C41" s="5">
        <v>20500</v>
      </c>
      <c r="D41" s="5"/>
      <c r="E41" s="5"/>
      <c r="F41" s="2">
        <v>11515</v>
      </c>
      <c r="G41" s="2"/>
      <c r="H41" s="2"/>
      <c r="I41" s="2"/>
      <c r="J41" s="2">
        <v>5304</v>
      </c>
      <c r="K41" s="2"/>
      <c r="L41" s="2">
        <v>3036</v>
      </c>
      <c r="M41" s="2"/>
      <c r="N41" s="2"/>
      <c r="O41" s="2"/>
      <c r="P41" s="2"/>
      <c r="Q41" s="2"/>
      <c r="R41" s="2"/>
      <c r="S41" s="52"/>
    </row>
    <row r="42" spans="1:19" ht="12.75">
      <c r="A42" t="s">
        <v>750</v>
      </c>
      <c r="B42" s="4">
        <v>54.411</v>
      </c>
      <c r="C42" s="5"/>
      <c r="D42" s="5"/>
      <c r="E42" s="5"/>
      <c r="F42" s="2"/>
      <c r="G42" s="2"/>
      <c r="H42" s="2"/>
      <c r="I42" s="2"/>
      <c r="J42" s="2">
        <v>74632</v>
      </c>
      <c r="K42" s="2"/>
      <c r="L42" s="2"/>
      <c r="M42" s="2"/>
      <c r="N42" s="2"/>
      <c r="O42" s="2"/>
      <c r="P42" s="2"/>
      <c r="Q42" s="2"/>
      <c r="R42" s="2"/>
      <c r="S42" s="52"/>
    </row>
    <row r="43" spans="1:19" ht="12.75" hidden="1">
      <c r="A43" t="s">
        <v>330</v>
      </c>
      <c r="B43" s="4">
        <v>54.25</v>
      </c>
      <c r="C43" s="5"/>
      <c r="D43" s="5">
        <v>114</v>
      </c>
      <c r="E43" s="5"/>
      <c r="F43" s="2">
        <v>4610</v>
      </c>
      <c r="G43" s="2"/>
      <c r="H43" s="2">
        <v>750</v>
      </c>
      <c r="I43" s="2"/>
      <c r="J43" s="2"/>
      <c r="K43" s="2"/>
      <c r="L43" s="2"/>
      <c r="M43" s="2"/>
      <c r="N43" s="2"/>
      <c r="O43" s="5"/>
      <c r="P43" s="5"/>
      <c r="Q43" s="5"/>
      <c r="R43" s="5"/>
      <c r="S43" s="52"/>
    </row>
    <row r="44" spans="2:19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2"/>
    </row>
    <row r="45" spans="1:19" ht="12.75">
      <c r="A45" s="6" t="s">
        <v>116</v>
      </c>
      <c r="B45" s="6"/>
      <c r="C45" s="8">
        <v>710157</v>
      </c>
      <c r="D45" s="8">
        <v>719420</v>
      </c>
      <c r="E45" s="8">
        <v>775535</v>
      </c>
      <c r="F45" s="8">
        <v>763065</v>
      </c>
      <c r="G45" s="8">
        <v>677851</v>
      </c>
      <c r="H45" s="8">
        <v>807182</v>
      </c>
      <c r="I45" s="8">
        <f>SUM(I7:I44)</f>
        <v>793807</v>
      </c>
      <c r="J45" s="8">
        <v>1139844</v>
      </c>
      <c r="K45" s="8">
        <f aca="true" t="shared" si="0" ref="K45:R45">SUM(K7:K44)</f>
        <v>1094040</v>
      </c>
      <c r="L45" s="8">
        <v>1221074</v>
      </c>
      <c r="M45" s="8">
        <f t="shared" si="0"/>
        <v>251606.27</v>
      </c>
      <c r="N45" s="8">
        <f t="shared" si="0"/>
        <v>431272.81999999995</v>
      </c>
      <c r="O45" s="8">
        <f t="shared" si="0"/>
        <v>598563.2015357874</v>
      </c>
      <c r="P45" s="8">
        <f t="shared" si="0"/>
        <v>1173574.799</v>
      </c>
      <c r="Q45" s="8">
        <f t="shared" si="0"/>
        <v>1173574.32534</v>
      </c>
      <c r="R45" s="8">
        <f t="shared" si="0"/>
        <v>514060.25684000005</v>
      </c>
      <c r="S45" s="60">
        <f>(R45-O45)/O45</f>
        <v>-0.14117631100436945</v>
      </c>
    </row>
    <row r="47" spans="15:17" ht="12.75">
      <c r="O47" s="22" t="s">
        <v>488</v>
      </c>
      <c r="P47" s="22"/>
      <c r="Q47" s="56">
        <f>P45-Q45</f>
        <v>0.47366000013425946</v>
      </c>
    </row>
    <row r="48" spans="15:17" ht="12.75">
      <c r="O48" s="22" t="s">
        <v>761</v>
      </c>
      <c r="P48" s="22"/>
      <c r="Q48" s="56">
        <f>O45-Q45</f>
        <v>-575011.1238042125</v>
      </c>
    </row>
    <row r="49" spans="1:17" ht="12.75">
      <c r="A49" s="14"/>
      <c r="O49" s="22" t="s">
        <v>436</v>
      </c>
      <c r="P49" s="22"/>
      <c r="Q49" s="56">
        <f>Q45-R45</f>
        <v>659514.0684999999</v>
      </c>
    </row>
    <row r="50" spans="1:18" ht="12.75">
      <c r="A50" s="16"/>
      <c r="P50" s="18"/>
      <c r="Q50" s="18"/>
      <c r="R50" s="18"/>
    </row>
    <row r="51" spans="1:18" ht="12.75">
      <c r="A51" s="175" t="s">
        <v>7</v>
      </c>
      <c r="P51" s="18"/>
      <c r="Q51" s="18"/>
      <c r="R51" s="18"/>
    </row>
    <row r="52" spans="1:18" ht="12.75">
      <c r="A52" s="186" t="s">
        <v>1046</v>
      </c>
      <c r="P52" s="18"/>
      <c r="Q52" s="18"/>
      <c r="R52" s="18"/>
    </row>
    <row r="53" spans="1:18" ht="12.75">
      <c r="A53" s="175" t="s">
        <v>862</v>
      </c>
      <c r="P53" s="19"/>
      <c r="Q53" s="19"/>
      <c r="R53" s="19"/>
    </row>
    <row r="54" ht="12.75">
      <c r="A54" s="14" t="s">
        <v>80</v>
      </c>
    </row>
    <row r="55" ht="12.75">
      <c r="A55" s="14" t="s">
        <v>81</v>
      </c>
    </row>
    <row r="56" ht="12.75">
      <c r="A56" s="14" t="s">
        <v>31</v>
      </c>
    </row>
    <row r="57" ht="12.75">
      <c r="A57" s="14" t="s">
        <v>1047</v>
      </c>
    </row>
    <row r="58" ht="12.75">
      <c r="A58" s="14" t="s">
        <v>1051</v>
      </c>
    </row>
    <row r="59" ht="12.75">
      <c r="A59" s="6"/>
    </row>
    <row r="61" ht="12.75">
      <c r="Q61" s="5"/>
    </row>
    <row r="62" ht="12.75">
      <c r="Q62" s="5"/>
    </row>
    <row r="63" ht="12.75">
      <c r="Q63" s="5"/>
    </row>
    <row r="64" ht="12.75">
      <c r="Q64" s="5"/>
    </row>
    <row r="65" ht="12.75">
      <c r="Q65" s="5"/>
    </row>
    <row r="66" spans="16:17" ht="12.75">
      <c r="P66" s="5"/>
      <c r="Q66" s="5"/>
    </row>
    <row r="68" ht="12.75">
      <c r="Q68" s="5"/>
    </row>
    <row r="69" spans="16:17" ht="12.75">
      <c r="P69" s="11"/>
      <c r="Q69" s="5"/>
    </row>
    <row r="70" spans="16:17" ht="12.75">
      <c r="P70" s="11"/>
      <c r="Q70" s="5"/>
    </row>
    <row r="71" spans="3:14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U75"/>
  <sheetViews>
    <sheetView zoomScale="75" zoomScaleNormal="75" workbookViewId="0" topLeftCell="A1">
      <selection activeCell="T9" sqref="T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9" width="11.7109375" style="0" hidden="1" customWidth="1"/>
    <col min="10" max="13" width="11.7109375" style="0" customWidth="1"/>
    <col min="14" max="14" width="13.421875" style="0" bestFit="1" customWidth="1"/>
    <col min="15" max="17" width="11.71093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476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1" ht="12.75">
      <c r="A7" t="s">
        <v>686</v>
      </c>
      <c r="B7" s="4">
        <v>51.11</v>
      </c>
      <c r="C7" s="2">
        <v>145327</v>
      </c>
      <c r="D7" s="2">
        <v>153721</v>
      </c>
      <c r="E7" s="2">
        <v>159374</v>
      </c>
      <c r="F7" s="2">
        <v>185396</v>
      </c>
      <c r="G7" s="2">
        <v>184423</v>
      </c>
      <c r="H7" s="2">
        <v>212777</v>
      </c>
      <c r="I7" s="2">
        <v>214621</v>
      </c>
      <c r="J7" s="2">
        <v>226137</v>
      </c>
      <c r="K7" s="2">
        <v>227177</v>
      </c>
      <c r="L7" s="2">
        <v>252534.3</v>
      </c>
      <c r="M7" s="2">
        <v>208621</v>
      </c>
      <c r="N7" s="2">
        <f>+M7/$M$3*12</f>
        <v>250345.19999999998</v>
      </c>
      <c r="O7" s="20">
        <v>260942.49099999998</v>
      </c>
      <c r="P7" s="20">
        <f>263745+27362</f>
        <v>291107</v>
      </c>
      <c r="Q7" s="20">
        <f>263744.8+27362</f>
        <v>291106.8</v>
      </c>
      <c r="R7" s="20">
        <v>230007</v>
      </c>
      <c r="S7" s="92">
        <f>(R7-O7)/O7</f>
        <v>-0.11855290750635158</v>
      </c>
      <c r="T7" t="s">
        <v>1053</v>
      </c>
      <c r="U7" s="6"/>
    </row>
    <row r="8" spans="1:21" ht="12.75">
      <c r="A8" t="s">
        <v>1052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0"/>
      <c r="P8" s="20"/>
      <c r="Q8" s="20"/>
      <c r="R8" s="20">
        <v>16894.8</v>
      </c>
      <c r="S8" s="92"/>
      <c r="T8" t="s">
        <v>582</v>
      </c>
      <c r="U8" s="6"/>
    </row>
    <row r="9" spans="1:21" ht="12.75">
      <c r="A9" t="s">
        <v>152</v>
      </c>
      <c r="B9" s="4">
        <v>51.13</v>
      </c>
      <c r="C9" s="2">
        <v>1316</v>
      </c>
      <c r="D9" s="2">
        <v>1473</v>
      </c>
      <c r="E9" s="2">
        <v>465</v>
      </c>
      <c r="F9" s="2">
        <v>850</v>
      </c>
      <c r="G9" s="2">
        <v>857</v>
      </c>
      <c r="H9" s="2">
        <v>1210</v>
      </c>
      <c r="I9" s="2">
        <v>1141</v>
      </c>
      <c r="J9" s="2">
        <v>1659</v>
      </c>
      <c r="K9" s="2">
        <v>1781</v>
      </c>
      <c r="L9" s="2">
        <v>2137</v>
      </c>
      <c r="M9" s="2">
        <v>1368</v>
      </c>
      <c r="N9" s="2">
        <f aca="true" t="shared" si="0" ref="N9:N38">+M9/$M$3*12</f>
        <v>1641.6000000000001</v>
      </c>
      <c r="O9" s="20">
        <v>1500</v>
      </c>
      <c r="P9" s="2">
        <v>1500</v>
      </c>
      <c r="Q9" s="20">
        <v>1500</v>
      </c>
      <c r="R9" s="20">
        <v>1500</v>
      </c>
      <c r="S9" s="92">
        <f>(R9-O9)/O9</f>
        <v>0</v>
      </c>
      <c r="U9" s="6"/>
    </row>
    <row r="10" spans="1:21" ht="12.75">
      <c r="A10" t="s">
        <v>159</v>
      </c>
      <c r="B10" s="4">
        <v>51.21</v>
      </c>
      <c r="C10" s="2">
        <v>12529</v>
      </c>
      <c r="D10" s="2">
        <v>15087</v>
      </c>
      <c r="E10" s="2">
        <v>17849</v>
      </c>
      <c r="F10" s="2">
        <v>17038</v>
      </c>
      <c r="G10" s="2">
        <v>18879</v>
      </c>
      <c r="H10" s="2">
        <v>22143</v>
      </c>
      <c r="I10" s="2">
        <v>22289</v>
      </c>
      <c r="J10" s="2">
        <v>23789</v>
      </c>
      <c r="K10" s="2">
        <v>25060</v>
      </c>
      <c r="L10" s="2">
        <v>30624</v>
      </c>
      <c r="M10" s="2">
        <v>26531</v>
      </c>
      <c r="N10" s="2">
        <f t="shared" si="0"/>
        <v>31837.199999999997</v>
      </c>
      <c r="O10" s="31">
        <v>33600</v>
      </c>
      <c r="P10" s="31">
        <v>39360</v>
      </c>
      <c r="Q10" s="31">
        <f>8*4920</f>
        <v>39360</v>
      </c>
      <c r="R10" s="31">
        <f>6*4920</f>
        <v>29520</v>
      </c>
      <c r="S10" s="92">
        <f>(R10-O10)/O10</f>
        <v>-0.12142857142857143</v>
      </c>
      <c r="T10" t="s">
        <v>1056</v>
      </c>
      <c r="U10" s="6"/>
    </row>
    <row r="11" spans="1:21" ht="12.75">
      <c r="A11" t="s">
        <v>139</v>
      </c>
      <c r="B11" s="4">
        <v>51.22</v>
      </c>
      <c r="C11" s="2">
        <v>10904</v>
      </c>
      <c r="D11" s="2">
        <v>11512</v>
      </c>
      <c r="E11" s="2">
        <v>12151</v>
      </c>
      <c r="F11" s="2">
        <v>14519</v>
      </c>
      <c r="G11" s="2">
        <v>14173</v>
      </c>
      <c r="H11" s="2">
        <v>16369</v>
      </c>
      <c r="I11" s="2">
        <v>16505</v>
      </c>
      <c r="J11" s="2">
        <v>17426</v>
      </c>
      <c r="K11" s="2">
        <v>17474</v>
      </c>
      <c r="L11" s="2">
        <v>19417.89</v>
      </c>
      <c r="M11" s="2">
        <v>16010</v>
      </c>
      <c r="N11" s="2">
        <f t="shared" si="0"/>
        <v>19212</v>
      </c>
      <c r="O11" s="20">
        <v>20076.8505615</v>
      </c>
      <c r="P11" s="185">
        <f>(P7+P9)*0.0765</f>
        <v>22384.4355</v>
      </c>
      <c r="Q11" s="185">
        <f>(Q7+Q9)*0.0765</f>
        <v>22384.4202</v>
      </c>
      <c r="R11" s="185">
        <f>(R7+R9)*0.0765</f>
        <v>17710.285499999998</v>
      </c>
      <c r="S11" s="92">
        <f>(R11-O11)/O11</f>
        <v>-0.1178753138720971</v>
      </c>
      <c r="T11" t="s">
        <v>514</v>
      </c>
      <c r="U11" s="6"/>
    </row>
    <row r="12" spans="1:19" ht="12.75">
      <c r="A12" t="s">
        <v>153</v>
      </c>
      <c r="B12" s="4">
        <v>51.24</v>
      </c>
      <c r="C12" s="2">
        <v>2871</v>
      </c>
      <c r="D12" s="2">
        <v>3057</v>
      </c>
      <c r="E12" s="2">
        <v>4345</v>
      </c>
      <c r="F12" s="2">
        <v>4007</v>
      </c>
      <c r="G12" s="2">
        <v>4511</v>
      </c>
      <c r="H12" s="2">
        <v>5035</v>
      </c>
      <c r="I12" s="2">
        <v>5856</v>
      </c>
      <c r="J12" s="2">
        <v>6313</v>
      </c>
      <c r="K12" s="2">
        <v>5830</v>
      </c>
      <c r="L12" s="2">
        <v>6616</v>
      </c>
      <c r="M12" s="2">
        <v>2271.38</v>
      </c>
      <c r="N12" s="2">
        <v>2271</v>
      </c>
      <c r="O12" s="20">
        <v>7000</v>
      </c>
      <c r="P12" s="20">
        <v>7100</v>
      </c>
      <c r="Q12" s="20">
        <v>7100</v>
      </c>
      <c r="R12" s="20">
        <v>7100</v>
      </c>
      <c r="S12" s="92">
        <f>(R12-O12)/O12</f>
        <v>0.014285714285714285</v>
      </c>
    </row>
    <row r="13" spans="2:20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"/>
      <c r="P13" s="2"/>
      <c r="Q13" s="20"/>
      <c r="R13" s="20"/>
      <c r="S13" s="92"/>
      <c r="T13" s="2"/>
    </row>
    <row r="14" spans="1:19" ht="12.75" hidden="1">
      <c r="A14" t="s">
        <v>693</v>
      </c>
      <c r="B14" s="4">
        <v>52.1307</v>
      </c>
      <c r="C14" s="2"/>
      <c r="D14" s="2"/>
      <c r="E14" s="2">
        <v>300</v>
      </c>
      <c r="F14" s="2">
        <v>325</v>
      </c>
      <c r="G14" s="2"/>
      <c r="H14" s="2"/>
      <c r="I14" s="2"/>
      <c r="J14" s="2"/>
      <c r="K14" s="2"/>
      <c r="L14" s="2"/>
      <c r="M14" s="2"/>
      <c r="N14" s="2">
        <f t="shared" si="0"/>
        <v>0</v>
      </c>
      <c r="O14" s="20"/>
      <c r="P14" s="2"/>
      <c r="Q14" s="20"/>
      <c r="R14" s="20"/>
      <c r="S14" s="92"/>
    </row>
    <row r="15" spans="1:19" ht="12.75">
      <c r="A15" t="s">
        <v>390</v>
      </c>
      <c r="B15" s="4">
        <v>52.22</v>
      </c>
      <c r="C15" s="2"/>
      <c r="D15" s="2"/>
      <c r="E15" s="2">
        <v>1812</v>
      </c>
      <c r="F15" s="2"/>
      <c r="G15" s="2"/>
      <c r="H15" s="2"/>
      <c r="I15" s="2">
        <v>450</v>
      </c>
      <c r="J15" s="2">
        <v>419</v>
      </c>
      <c r="K15" s="2">
        <v>215</v>
      </c>
      <c r="L15" s="2">
        <v>300</v>
      </c>
      <c r="M15">
        <v>224</v>
      </c>
      <c r="N15" s="2">
        <f t="shared" si="0"/>
        <v>268.79999999999995</v>
      </c>
      <c r="O15" s="20">
        <v>500</v>
      </c>
      <c r="P15" s="2">
        <v>500</v>
      </c>
      <c r="Q15" s="20">
        <v>500</v>
      </c>
      <c r="R15" s="20">
        <v>500</v>
      </c>
      <c r="S15" s="92"/>
    </row>
    <row r="16" spans="1:19" ht="12.75">
      <c r="A16" t="s">
        <v>268</v>
      </c>
      <c r="B16" s="4">
        <v>52.2206</v>
      </c>
      <c r="C16" s="2">
        <v>480</v>
      </c>
      <c r="D16" s="2">
        <v>412</v>
      </c>
      <c r="E16" s="2">
        <v>160</v>
      </c>
      <c r="F16" s="2">
        <v>791</v>
      </c>
      <c r="G16" s="2">
        <v>434</v>
      </c>
      <c r="H16" s="2">
        <v>444</v>
      </c>
      <c r="I16" s="2">
        <v>585</v>
      </c>
      <c r="J16" s="2">
        <v>536</v>
      </c>
      <c r="K16" s="2">
        <v>193</v>
      </c>
      <c r="L16" s="2">
        <v>205</v>
      </c>
      <c r="M16" s="2">
        <v>690</v>
      </c>
      <c r="N16" s="2">
        <f t="shared" si="0"/>
        <v>828</v>
      </c>
      <c r="O16" s="20">
        <v>800</v>
      </c>
      <c r="P16" s="2">
        <v>800</v>
      </c>
      <c r="Q16" s="20">
        <v>800</v>
      </c>
      <c r="R16" s="20">
        <v>800</v>
      </c>
      <c r="S16" s="92">
        <f>(R16-O16)/O16</f>
        <v>0</v>
      </c>
    </row>
    <row r="17" spans="1:19" ht="12.75" hidden="1">
      <c r="A17" t="s">
        <v>391</v>
      </c>
      <c r="B17" s="4">
        <v>52.23</v>
      </c>
      <c r="C17" s="2"/>
      <c r="D17" s="2"/>
      <c r="E17" s="2"/>
      <c r="F17" s="2">
        <v>62</v>
      </c>
      <c r="G17" s="2"/>
      <c r="H17" s="2"/>
      <c r="I17" s="2"/>
      <c r="J17" s="2"/>
      <c r="K17" s="2"/>
      <c r="L17" s="2"/>
      <c r="N17" s="2">
        <f t="shared" si="0"/>
        <v>0</v>
      </c>
      <c r="O17" s="20"/>
      <c r="P17" s="2"/>
      <c r="Q17" s="20"/>
      <c r="R17" s="20"/>
      <c r="S17" s="92"/>
    </row>
    <row r="18" spans="1:19" ht="12.75">
      <c r="A18" t="s">
        <v>269</v>
      </c>
      <c r="B18" s="4">
        <v>53.2327</v>
      </c>
      <c r="C18" s="2"/>
      <c r="D18" s="2"/>
      <c r="E18" s="2"/>
      <c r="F18" s="2">
        <v>875</v>
      </c>
      <c r="G18" s="2">
        <v>644</v>
      </c>
      <c r="H18" s="2">
        <v>739</v>
      </c>
      <c r="I18" s="2">
        <v>763</v>
      </c>
      <c r="J18" s="2">
        <v>427</v>
      </c>
      <c r="K18" s="2">
        <v>379</v>
      </c>
      <c r="L18" s="2">
        <v>409</v>
      </c>
      <c r="M18" s="11">
        <v>409</v>
      </c>
      <c r="N18" s="2">
        <f t="shared" si="0"/>
        <v>490.79999999999995</v>
      </c>
      <c r="O18" s="20">
        <v>500</v>
      </c>
      <c r="P18" s="2">
        <v>500</v>
      </c>
      <c r="Q18" s="20">
        <v>500</v>
      </c>
      <c r="R18" s="20">
        <v>500</v>
      </c>
      <c r="S18" s="92">
        <f>(R18-O18)/O18</f>
        <v>0</v>
      </c>
    </row>
    <row r="19" spans="1:19" ht="12.75">
      <c r="A19" t="s">
        <v>141</v>
      </c>
      <c r="B19" s="4">
        <v>52.32</v>
      </c>
      <c r="C19" s="2">
        <v>1573</v>
      </c>
      <c r="D19" s="2">
        <v>1632</v>
      </c>
      <c r="E19" s="2">
        <v>1922</v>
      </c>
      <c r="F19" s="2">
        <v>2078</v>
      </c>
      <c r="G19" s="2">
        <v>1804</v>
      </c>
      <c r="H19" s="2">
        <v>2582</v>
      </c>
      <c r="I19" s="2">
        <v>2088</v>
      </c>
      <c r="J19" s="2">
        <v>2607</v>
      </c>
      <c r="K19" s="2">
        <v>3001</v>
      </c>
      <c r="L19" s="2">
        <v>2960</v>
      </c>
      <c r="M19" s="11">
        <v>2386</v>
      </c>
      <c r="N19" s="2">
        <f t="shared" si="0"/>
        <v>2863.2</v>
      </c>
      <c r="O19" s="20">
        <v>2600</v>
      </c>
      <c r="P19" s="2">
        <v>2800</v>
      </c>
      <c r="Q19" s="20">
        <v>2800</v>
      </c>
      <c r="R19" s="20">
        <v>2800</v>
      </c>
      <c r="S19" s="92">
        <f>(R19-O19)/O19</f>
        <v>0.07692307692307693</v>
      </c>
    </row>
    <row r="20" spans="1:19" ht="12.75">
      <c r="A20" t="s">
        <v>142</v>
      </c>
      <c r="B20" s="4">
        <v>52.321</v>
      </c>
      <c r="C20" s="2">
        <v>74</v>
      </c>
      <c r="D20" s="2">
        <v>50</v>
      </c>
      <c r="E20" s="2">
        <v>34</v>
      </c>
      <c r="F20" s="2">
        <v>34</v>
      </c>
      <c r="G20" s="2">
        <v>74</v>
      </c>
      <c r="H20" s="2">
        <v>37</v>
      </c>
      <c r="I20" s="2">
        <v>22</v>
      </c>
      <c r="J20" s="2">
        <v>37</v>
      </c>
      <c r="K20" s="2">
        <v>122</v>
      </c>
      <c r="L20" s="2"/>
      <c r="M20" s="11">
        <v>42</v>
      </c>
      <c r="N20" s="2">
        <f t="shared" si="0"/>
        <v>50.400000000000006</v>
      </c>
      <c r="O20" s="20">
        <v>75</v>
      </c>
      <c r="P20" s="2">
        <v>75</v>
      </c>
      <c r="Q20" s="20">
        <v>75</v>
      </c>
      <c r="R20" s="20">
        <v>75</v>
      </c>
      <c r="S20" s="92">
        <f>(R20-O20)/O20</f>
        <v>0</v>
      </c>
    </row>
    <row r="21" spans="1:21" ht="12.75">
      <c r="A21" t="s">
        <v>154</v>
      </c>
      <c r="B21" s="4">
        <v>52.35</v>
      </c>
      <c r="C21" s="2">
        <v>99</v>
      </c>
      <c r="D21" s="2">
        <v>357</v>
      </c>
      <c r="E21" s="2"/>
      <c r="F21" s="2">
        <v>61</v>
      </c>
      <c r="G21" s="2"/>
      <c r="H21" s="2">
        <v>37</v>
      </c>
      <c r="I21" s="2">
        <f>79+5</f>
        <v>84</v>
      </c>
      <c r="J21" s="2">
        <v>73</v>
      </c>
      <c r="K21" s="2">
        <v>87</v>
      </c>
      <c r="L21" s="2">
        <v>170</v>
      </c>
      <c r="M21" s="11">
        <v>20</v>
      </c>
      <c r="N21" s="2">
        <f t="shared" si="0"/>
        <v>24</v>
      </c>
      <c r="O21" s="20">
        <v>100</v>
      </c>
      <c r="P21" s="2">
        <v>100</v>
      </c>
      <c r="Q21" s="20">
        <v>100</v>
      </c>
      <c r="R21" s="20">
        <v>100</v>
      </c>
      <c r="S21" s="92">
        <f>(R21-O21)/O21</f>
        <v>0</v>
      </c>
      <c r="U21" t="s">
        <v>683</v>
      </c>
    </row>
    <row r="22" spans="1:19" ht="12.75" hidden="1">
      <c r="A22" t="s">
        <v>145</v>
      </c>
      <c r="B22" s="4">
        <v>52.37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  <c r="O22" s="20"/>
      <c r="P22" s="2"/>
      <c r="Q22" s="20"/>
      <c r="R22" s="20"/>
      <c r="S22" s="92"/>
    </row>
    <row r="23" spans="2:19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0"/>
      <c r="P23" s="2"/>
      <c r="Q23" s="20"/>
      <c r="R23" s="20"/>
      <c r="S23" s="92"/>
    </row>
    <row r="24" spans="1:19" ht="12.75">
      <c r="A24" t="s">
        <v>148</v>
      </c>
      <c r="B24" s="4">
        <v>53.12</v>
      </c>
      <c r="C24" s="2">
        <v>3084</v>
      </c>
      <c r="D24" s="2">
        <v>6868</v>
      </c>
      <c r="E24" s="2">
        <v>6979</v>
      </c>
      <c r="F24" s="2">
        <v>5595</v>
      </c>
      <c r="G24" s="2">
        <v>6692</v>
      </c>
      <c r="H24" s="2">
        <v>6148</v>
      </c>
      <c r="I24" s="2">
        <v>7630</v>
      </c>
      <c r="J24" s="2">
        <v>7419</v>
      </c>
      <c r="K24" s="2">
        <v>7889</v>
      </c>
      <c r="L24" s="2">
        <f>8097+449</f>
        <v>8546</v>
      </c>
      <c r="M24" s="11">
        <v>6629</v>
      </c>
      <c r="N24" s="2">
        <f t="shared" si="0"/>
        <v>7954.799999999999</v>
      </c>
      <c r="O24" s="20">
        <v>9000</v>
      </c>
      <c r="P24" s="2">
        <v>9000</v>
      </c>
      <c r="Q24" s="20">
        <v>9000</v>
      </c>
      <c r="R24" s="20">
        <v>9000</v>
      </c>
      <c r="S24" s="92">
        <f>(R24-O24)/O24</f>
        <v>0</v>
      </c>
    </row>
    <row r="25" spans="1:19" ht="12.75">
      <c r="A25" t="s">
        <v>270</v>
      </c>
      <c r="B25" s="4">
        <v>53.161</v>
      </c>
      <c r="C25" s="2">
        <v>2390</v>
      </c>
      <c r="D25" s="2">
        <v>2380</v>
      </c>
      <c r="E25" s="2">
        <v>3381</v>
      </c>
      <c r="F25" s="2">
        <v>3446</v>
      </c>
      <c r="G25" s="2">
        <v>3781</v>
      </c>
      <c r="H25" s="2">
        <v>5195</v>
      </c>
      <c r="I25" s="2">
        <v>5508</v>
      </c>
      <c r="J25" s="2">
        <v>6211</v>
      </c>
      <c r="K25" s="2">
        <v>6764</v>
      </c>
      <c r="L25" s="2">
        <v>4886</v>
      </c>
      <c r="M25" s="11">
        <v>2372</v>
      </c>
      <c r="N25" s="2">
        <v>5900</v>
      </c>
      <c r="O25" s="20">
        <v>5900</v>
      </c>
      <c r="P25" s="2">
        <v>5900</v>
      </c>
      <c r="Q25" s="20">
        <v>5900</v>
      </c>
      <c r="R25" s="20">
        <v>5900</v>
      </c>
      <c r="S25" s="92">
        <f>(R25-O25)/O25</f>
        <v>0</v>
      </c>
    </row>
    <row r="26" spans="1:19" ht="12.75" hidden="1">
      <c r="A26" t="s">
        <v>271</v>
      </c>
      <c r="B26" s="4">
        <v>53.17</v>
      </c>
      <c r="C26" s="2"/>
      <c r="D26" s="2"/>
      <c r="E26" s="2"/>
      <c r="F26" s="2">
        <v>150</v>
      </c>
      <c r="G26" s="2"/>
      <c r="H26" s="2"/>
      <c r="I26" s="2"/>
      <c r="J26" s="2"/>
      <c r="K26" s="2"/>
      <c r="L26" s="2"/>
      <c r="N26" s="2"/>
      <c r="O26" s="20"/>
      <c r="P26" s="2"/>
      <c r="Q26" s="20"/>
      <c r="R26" s="20"/>
      <c r="S26" s="92"/>
    </row>
    <row r="27" spans="1:19" ht="12.75">
      <c r="A27" t="s">
        <v>272</v>
      </c>
      <c r="B27" s="4">
        <v>53.1702</v>
      </c>
      <c r="C27" s="2">
        <v>156</v>
      </c>
      <c r="D27" s="2">
        <v>98</v>
      </c>
      <c r="E27" s="2">
        <v>131</v>
      </c>
      <c r="F27" s="2">
        <v>115</v>
      </c>
      <c r="G27" s="2">
        <v>92</v>
      </c>
      <c r="H27" s="2">
        <v>80</v>
      </c>
      <c r="I27" s="2">
        <v>95</v>
      </c>
      <c r="J27" s="2">
        <v>74</v>
      </c>
      <c r="K27" s="2">
        <v>115</v>
      </c>
      <c r="L27" s="2">
        <v>144</v>
      </c>
      <c r="M27" s="2">
        <v>141</v>
      </c>
      <c r="N27" s="2">
        <f aca="true" t="shared" si="1" ref="N27:N32">+M27/$M$3*12</f>
        <v>169.2</v>
      </c>
      <c r="O27" s="20">
        <v>200</v>
      </c>
      <c r="P27" s="2">
        <v>200</v>
      </c>
      <c r="Q27" s="20">
        <v>200</v>
      </c>
      <c r="R27" s="20">
        <v>200</v>
      </c>
      <c r="S27" s="92">
        <f aca="true" t="shared" si="2" ref="S27:S37">(R27-O27)/O27</f>
        <v>0</v>
      </c>
    </row>
    <row r="28" spans="1:19" ht="12.75">
      <c r="A28" t="s">
        <v>273</v>
      </c>
      <c r="B28" s="4">
        <v>53.1705</v>
      </c>
      <c r="C28" s="2">
        <v>3994</v>
      </c>
      <c r="D28" s="2">
        <v>2981</v>
      </c>
      <c r="E28" s="2">
        <v>10304</v>
      </c>
      <c r="F28" s="2">
        <v>2619</v>
      </c>
      <c r="G28" s="2">
        <v>2657</v>
      </c>
      <c r="H28" s="2">
        <v>2040</v>
      </c>
      <c r="I28" s="2">
        <v>2856</v>
      </c>
      <c r="J28" s="2">
        <v>3394</v>
      </c>
      <c r="K28" s="2">
        <v>2888</v>
      </c>
      <c r="L28" s="2">
        <v>2319</v>
      </c>
      <c r="M28" s="11">
        <v>1975</v>
      </c>
      <c r="N28" s="2">
        <f t="shared" si="1"/>
        <v>2370</v>
      </c>
      <c r="O28" s="20">
        <v>2500</v>
      </c>
      <c r="P28" s="2">
        <v>2500</v>
      </c>
      <c r="Q28" s="20">
        <v>2500</v>
      </c>
      <c r="R28" s="20">
        <v>2500</v>
      </c>
      <c r="S28" s="92">
        <f t="shared" si="2"/>
        <v>0</v>
      </c>
    </row>
    <row r="29" spans="1:19" ht="12.75">
      <c r="A29" t="s">
        <v>265</v>
      </c>
      <c r="B29" s="4">
        <v>53.171</v>
      </c>
      <c r="C29" s="2">
        <v>1403</v>
      </c>
      <c r="D29" s="2">
        <v>1753</v>
      </c>
      <c r="E29" s="2">
        <v>1186</v>
      </c>
      <c r="F29" s="2">
        <v>1079</v>
      </c>
      <c r="G29" s="2">
        <v>937</v>
      </c>
      <c r="H29" s="2">
        <v>477</v>
      </c>
      <c r="I29" s="2">
        <v>693</v>
      </c>
      <c r="J29" s="2">
        <v>598</v>
      </c>
      <c r="K29" s="2">
        <v>504</v>
      </c>
      <c r="L29" s="2">
        <v>799</v>
      </c>
      <c r="M29" s="11">
        <v>104</v>
      </c>
      <c r="N29" s="2">
        <f t="shared" si="1"/>
        <v>124.80000000000001</v>
      </c>
      <c r="O29" s="20">
        <v>600</v>
      </c>
      <c r="P29" s="2">
        <v>600</v>
      </c>
      <c r="Q29" s="20">
        <v>600</v>
      </c>
      <c r="R29" s="20">
        <v>600</v>
      </c>
      <c r="S29" s="92">
        <f t="shared" si="2"/>
        <v>0</v>
      </c>
    </row>
    <row r="30" spans="1:19" ht="12.75">
      <c r="A30" t="s">
        <v>274</v>
      </c>
      <c r="B30" s="4">
        <v>53.172</v>
      </c>
      <c r="C30" s="2">
        <v>5947</v>
      </c>
      <c r="D30" s="2">
        <v>2962</v>
      </c>
      <c r="E30" s="2">
        <v>7992</v>
      </c>
      <c r="F30" s="2">
        <v>2109</v>
      </c>
      <c r="G30" s="2">
        <v>588</v>
      </c>
      <c r="H30" s="2">
        <v>1406</v>
      </c>
      <c r="I30" s="2">
        <v>1201</v>
      </c>
      <c r="J30" s="2">
        <v>1049</v>
      </c>
      <c r="K30" s="2">
        <v>2651</v>
      </c>
      <c r="L30" s="2">
        <v>2810</v>
      </c>
      <c r="M30" s="11">
        <v>2145</v>
      </c>
      <c r="N30" s="2">
        <f t="shared" si="1"/>
        <v>2574</v>
      </c>
      <c r="O30" s="20">
        <v>2700</v>
      </c>
      <c r="P30" s="2">
        <v>2700</v>
      </c>
      <c r="Q30" s="20">
        <v>2700</v>
      </c>
      <c r="R30" s="20">
        <v>2700</v>
      </c>
      <c r="S30" s="92">
        <f t="shared" si="2"/>
        <v>0</v>
      </c>
    </row>
    <row r="31" spans="1:19" ht="12.75">
      <c r="A31" t="s">
        <v>972</v>
      </c>
      <c r="B31" s="4">
        <v>53.1737</v>
      </c>
      <c r="C31" s="2"/>
      <c r="D31" s="2"/>
      <c r="E31" s="2"/>
      <c r="F31" s="2"/>
      <c r="G31" s="2"/>
      <c r="H31" s="2"/>
      <c r="I31" s="2"/>
      <c r="J31" s="2"/>
      <c r="K31" s="2"/>
      <c r="L31" s="2">
        <v>167</v>
      </c>
      <c r="M31" s="11"/>
      <c r="N31" s="2">
        <f t="shared" si="1"/>
        <v>0</v>
      </c>
      <c r="O31" s="20"/>
      <c r="P31" s="2"/>
      <c r="Q31" s="20"/>
      <c r="R31" s="20"/>
      <c r="S31" s="92"/>
    </row>
    <row r="32" spans="1:19" ht="12.75">
      <c r="A32" t="s">
        <v>275</v>
      </c>
      <c r="B32" s="4">
        <v>53.174</v>
      </c>
      <c r="C32" s="2">
        <v>1531</v>
      </c>
      <c r="D32" s="2">
        <v>1534</v>
      </c>
      <c r="E32" s="2">
        <v>1379</v>
      </c>
      <c r="F32" s="2">
        <v>1486</v>
      </c>
      <c r="G32" s="2">
        <v>1711</v>
      </c>
      <c r="H32" s="2">
        <v>1927</v>
      </c>
      <c r="I32" s="2">
        <v>1983</v>
      </c>
      <c r="J32" s="2">
        <v>2289</v>
      </c>
      <c r="K32" s="2">
        <v>2140</v>
      </c>
      <c r="L32" s="2">
        <v>2448</v>
      </c>
      <c r="M32" s="11">
        <v>2396</v>
      </c>
      <c r="N32" s="2">
        <f t="shared" si="1"/>
        <v>2875.2</v>
      </c>
      <c r="O32" s="20">
        <v>2000</v>
      </c>
      <c r="P32" s="2">
        <v>2000</v>
      </c>
      <c r="Q32" s="20">
        <v>2000</v>
      </c>
      <c r="R32" s="20">
        <v>2000</v>
      </c>
      <c r="S32" s="92">
        <f t="shared" si="2"/>
        <v>0</v>
      </c>
    </row>
    <row r="33" spans="1:19" ht="12.75">
      <c r="A33" t="s">
        <v>276</v>
      </c>
      <c r="B33" s="4">
        <v>53.175</v>
      </c>
      <c r="C33" s="2">
        <v>1034</v>
      </c>
      <c r="D33" s="2">
        <v>2374</v>
      </c>
      <c r="E33" s="2">
        <v>1433</v>
      </c>
      <c r="F33" s="2">
        <v>793</v>
      </c>
      <c r="G33" s="2">
        <v>882</v>
      </c>
      <c r="H33" s="2">
        <v>1428</v>
      </c>
      <c r="I33" s="2">
        <v>1202</v>
      </c>
      <c r="J33" s="2">
        <v>976</v>
      </c>
      <c r="K33" s="2">
        <v>1789</v>
      </c>
      <c r="L33" s="2">
        <v>1342</v>
      </c>
      <c r="M33" s="11">
        <v>3847</v>
      </c>
      <c r="N33" s="2">
        <f t="shared" si="0"/>
        <v>4616.4</v>
      </c>
      <c r="O33" s="20">
        <v>1600</v>
      </c>
      <c r="P33" s="2">
        <v>1600</v>
      </c>
      <c r="Q33" s="20">
        <v>1600</v>
      </c>
      <c r="R33" s="20">
        <v>1600</v>
      </c>
      <c r="S33" s="92">
        <f t="shared" si="2"/>
        <v>0</v>
      </c>
    </row>
    <row r="34" spans="1:19" ht="12.75">
      <c r="A34" t="s">
        <v>277</v>
      </c>
      <c r="B34" s="4">
        <v>53.176</v>
      </c>
      <c r="C34" s="2">
        <v>136</v>
      </c>
      <c r="D34" s="2">
        <v>96</v>
      </c>
      <c r="E34" s="2">
        <v>160</v>
      </c>
      <c r="F34" s="2">
        <v>139</v>
      </c>
      <c r="G34" s="2">
        <v>106</v>
      </c>
      <c r="H34" s="2">
        <v>162</v>
      </c>
      <c r="I34" s="2">
        <v>141</v>
      </c>
      <c r="J34" s="2">
        <v>186</v>
      </c>
      <c r="K34" s="2">
        <v>220</v>
      </c>
      <c r="L34" s="2">
        <v>190</v>
      </c>
      <c r="M34" s="11">
        <v>330</v>
      </c>
      <c r="N34" s="2">
        <f t="shared" si="0"/>
        <v>396</v>
      </c>
      <c r="O34" s="20">
        <v>160</v>
      </c>
      <c r="P34" s="2">
        <v>160</v>
      </c>
      <c r="Q34" s="20">
        <v>160</v>
      </c>
      <c r="R34" s="20">
        <v>160</v>
      </c>
      <c r="S34" s="92">
        <f t="shared" si="2"/>
        <v>0</v>
      </c>
    </row>
    <row r="35" spans="1:19" ht="12.75">
      <c r="A35" t="s">
        <v>278</v>
      </c>
      <c r="B35" s="4">
        <v>53.177</v>
      </c>
      <c r="C35" s="2">
        <v>1</v>
      </c>
      <c r="D35" s="2">
        <v>4</v>
      </c>
      <c r="E35" s="2">
        <v>395</v>
      </c>
      <c r="F35" s="2">
        <v>122</v>
      </c>
      <c r="G35" s="2">
        <v>71</v>
      </c>
      <c r="H35" s="2">
        <v>273</v>
      </c>
      <c r="I35" s="2"/>
      <c r="J35" s="2"/>
      <c r="K35" s="2">
        <v>957</v>
      </c>
      <c r="L35" s="2"/>
      <c r="M35" s="11">
        <v>0</v>
      </c>
      <c r="N35" s="2">
        <f t="shared" si="0"/>
        <v>0</v>
      </c>
      <c r="O35" s="20">
        <v>500</v>
      </c>
      <c r="P35" s="2">
        <v>500</v>
      </c>
      <c r="Q35" s="20">
        <v>500</v>
      </c>
      <c r="R35" s="20">
        <v>500</v>
      </c>
      <c r="S35" s="92">
        <f t="shared" si="2"/>
        <v>0</v>
      </c>
    </row>
    <row r="36" spans="1:19" ht="12.75">
      <c r="A36" t="s">
        <v>191</v>
      </c>
      <c r="B36" s="4">
        <v>53.178</v>
      </c>
      <c r="C36" s="2">
        <v>309</v>
      </c>
      <c r="D36" s="2">
        <v>275</v>
      </c>
      <c r="E36" s="2">
        <v>161</v>
      </c>
      <c r="F36" s="2">
        <v>101</v>
      </c>
      <c r="G36" s="2">
        <v>63</v>
      </c>
      <c r="H36" s="2">
        <v>120</v>
      </c>
      <c r="I36" s="2">
        <v>153</v>
      </c>
      <c r="J36" s="2">
        <v>90</v>
      </c>
      <c r="K36" s="2">
        <v>261</v>
      </c>
      <c r="L36" s="2">
        <v>282</v>
      </c>
      <c r="M36" s="11">
        <v>71.47</v>
      </c>
      <c r="N36" s="2">
        <f t="shared" si="0"/>
        <v>85.76400000000001</v>
      </c>
      <c r="O36" s="20">
        <v>200</v>
      </c>
      <c r="P36" s="2">
        <v>200</v>
      </c>
      <c r="Q36" s="20">
        <v>200</v>
      </c>
      <c r="R36" s="20">
        <v>200</v>
      </c>
      <c r="S36" s="92">
        <f t="shared" si="2"/>
        <v>0</v>
      </c>
    </row>
    <row r="37" spans="1:19" ht="12.75">
      <c r="A37" t="s">
        <v>179</v>
      </c>
      <c r="B37" s="4">
        <v>53.179</v>
      </c>
      <c r="C37" s="2">
        <v>1159</v>
      </c>
      <c r="D37" s="2">
        <v>2017</v>
      </c>
      <c r="E37" s="2">
        <v>2122</v>
      </c>
      <c r="F37" s="2">
        <v>941</v>
      </c>
      <c r="G37" s="2">
        <v>1122</v>
      </c>
      <c r="H37" s="2">
        <v>1213</v>
      </c>
      <c r="I37" s="2">
        <v>2132</v>
      </c>
      <c r="J37" s="2">
        <v>3039</v>
      </c>
      <c r="K37" s="2">
        <v>2938</v>
      </c>
      <c r="L37" s="2">
        <v>3731</v>
      </c>
      <c r="M37" s="11">
        <v>1720</v>
      </c>
      <c r="N37" s="2">
        <f t="shared" si="0"/>
        <v>2064</v>
      </c>
      <c r="O37" s="20">
        <v>3000</v>
      </c>
      <c r="P37" s="2">
        <v>2500</v>
      </c>
      <c r="Q37" s="20">
        <v>2500</v>
      </c>
      <c r="R37" s="20">
        <v>2500</v>
      </c>
      <c r="S37" s="92">
        <f t="shared" si="2"/>
        <v>-0.16666666666666666</v>
      </c>
    </row>
    <row r="38" spans="1:19" ht="12.75">
      <c r="A38" t="s">
        <v>242</v>
      </c>
      <c r="B38" s="4">
        <v>53.18</v>
      </c>
      <c r="C38" s="2">
        <v>4</v>
      </c>
      <c r="D38" s="2"/>
      <c r="E38" s="2"/>
      <c r="F38" s="2"/>
      <c r="G38" s="2"/>
      <c r="H38" s="2"/>
      <c r="I38" s="2">
        <v>341</v>
      </c>
      <c r="J38" s="2">
        <v>323</v>
      </c>
      <c r="K38" s="2">
        <v>511</v>
      </c>
      <c r="L38" s="2">
        <v>1349</v>
      </c>
      <c r="M38" s="11">
        <v>801</v>
      </c>
      <c r="N38" s="2">
        <f t="shared" si="0"/>
        <v>961.1999999999999</v>
      </c>
      <c r="O38" s="20">
        <v>1500</v>
      </c>
      <c r="P38" s="2">
        <v>1500</v>
      </c>
      <c r="Q38" s="20">
        <v>1500</v>
      </c>
      <c r="R38" s="20">
        <v>1500</v>
      </c>
      <c r="S38" s="92"/>
    </row>
    <row r="39" spans="2:19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0"/>
      <c r="P39" s="2"/>
      <c r="Q39" s="20"/>
      <c r="R39" s="20"/>
      <c r="S39" s="92"/>
    </row>
    <row r="40" spans="1:19" ht="12.75" hidden="1">
      <c r="A40" t="s">
        <v>262</v>
      </c>
      <c r="B40" s="4">
        <v>54.21</v>
      </c>
      <c r="C40" s="2"/>
      <c r="D40" s="2"/>
      <c r="E40" s="2"/>
      <c r="F40" s="2">
        <v>9620</v>
      </c>
      <c r="G40" s="2"/>
      <c r="H40" s="2"/>
      <c r="I40" s="2"/>
      <c r="J40" s="2"/>
      <c r="K40" s="2"/>
      <c r="L40" s="2"/>
      <c r="M40" s="2"/>
      <c r="N40" s="2"/>
      <c r="O40" s="20"/>
      <c r="P40" s="2"/>
      <c r="Q40" s="20"/>
      <c r="R40" s="20"/>
      <c r="S40" s="52"/>
    </row>
    <row r="41" spans="1:19" ht="12.75" hidden="1">
      <c r="A41" t="s">
        <v>393</v>
      </c>
      <c r="B41" s="4">
        <v>54.12</v>
      </c>
      <c r="N41" s="2"/>
      <c r="O41" s="37"/>
      <c r="P41" s="18"/>
      <c r="Q41" s="37"/>
      <c r="R41" s="37"/>
      <c r="S41" s="52"/>
    </row>
    <row r="42" spans="1:19" ht="12.75">
      <c r="A42" t="s">
        <v>373</v>
      </c>
      <c r="B42" s="4">
        <v>54.22</v>
      </c>
      <c r="C42" s="2"/>
      <c r="D42" s="2"/>
      <c r="E42" s="2"/>
      <c r="F42" s="2">
        <v>12000</v>
      </c>
      <c r="G42" s="2"/>
      <c r="H42" s="2"/>
      <c r="I42" s="2"/>
      <c r="J42" s="2"/>
      <c r="K42" s="2"/>
      <c r="L42" s="2">
        <v>518</v>
      </c>
      <c r="M42" s="2"/>
      <c r="N42" s="2"/>
      <c r="O42" s="20"/>
      <c r="P42" s="2"/>
      <c r="Q42" s="20"/>
      <c r="R42" s="20"/>
      <c r="S42" s="52"/>
    </row>
    <row r="43" spans="1:19" ht="12.75" hidden="1">
      <c r="A43" t="s">
        <v>392</v>
      </c>
      <c r="B43" s="4">
        <v>54.25</v>
      </c>
      <c r="C43" s="2"/>
      <c r="D43" s="2"/>
      <c r="E43" s="2"/>
      <c r="F43" s="2">
        <v>1455</v>
      </c>
      <c r="G43" s="2">
        <v>1310</v>
      </c>
      <c r="H43" s="2"/>
      <c r="I43" s="2"/>
      <c r="J43" s="2"/>
      <c r="K43" s="2"/>
      <c r="L43" s="2"/>
      <c r="M43" s="2"/>
      <c r="N43" s="2"/>
      <c r="O43" s="20"/>
      <c r="P43" s="2"/>
      <c r="Q43" s="20"/>
      <c r="R43" s="20"/>
      <c r="S43" s="52"/>
    </row>
    <row r="44" spans="1:19" ht="12.75" hidden="1">
      <c r="A44" t="s">
        <v>366</v>
      </c>
      <c r="B44" s="4">
        <v>54.24</v>
      </c>
      <c r="C44" s="2"/>
      <c r="D44" s="2"/>
      <c r="E44" s="2"/>
      <c r="F44" s="2">
        <v>954</v>
      </c>
      <c r="G44" s="2"/>
      <c r="H44" s="2"/>
      <c r="I44" s="2"/>
      <c r="J44" s="2"/>
      <c r="K44" s="2"/>
      <c r="L44" s="2"/>
      <c r="M44" s="2"/>
      <c r="N44" s="2"/>
      <c r="P44" s="2"/>
      <c r="Q44" s="20"/>
      <c r="S44" s="52"/>
    </row>
    <row r="45" spans="2:19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0"/>
      <c r="R45" s="20"/>
      <c r="S45" s="52"/>
    </row>
    <row r="46" spans="1:19" ht="12.75">
      <c r="A46" s="6" t="s">
        <v>116</v>
      </c>
      <c r="B46" s="6"/>
      <c r="C46" s="8">
        <f>SUM(C7:C40)</f>
        <v>196321</v>
      </c>
      <c r="D46" s="8">
        <f>SUM(D7:D40)</f>
        <v>210643</v>
      </c>
      <c r="E46" s="8">
        <f>SUM(E7:E45)</f>
        <v>234035</v>
      </c>
      <c r="F46" s="8">
        <f>SUM(F7:F45)</f>
        <v>268760</v>
      </c>
      <c r="G46" s="8">
        <f>SUM(G7:G45)</f>
        <v>245811</v>
      </c>
      <c r="H46" s="8">
        <f>SUM(H7:H45)</f>
        <v>281842</v>
      </c>
      <c r="I46" s="8">
        <f>SUM(I7:I45)</f>
        <v>288339</v>
      </c>
      <c r="J46" s="8">
        <v>310406</v>
      </c>
      <c r="K46" s="8">
        <f>SUM(K7:K45)</f>
        <v>310946</v>
      </c>
      <c r="L46" s="8">
        <v>344259</v>
      </c>
      <c r="M46" s="8">
        <f aca="true" t="shared" si="3" ref="M46:R46">SUM(M7:M45)</f>
        <v>281103.85</v>
      </c>
      <c r="N46" s="8">
        <f t="shared" si="3"/>
        <v>339923.5640000001</v>
      </c>
      <c r="O46" s="8">
        <f t="shared" si="3"/>
        <v>357554.3415615</v>
      </c>
      <c r="P46" s="8">
        <f t="shared" si="3"/>
        <v>395586.4355</v>
      </c>
      <c r="Q46" s="8">
        <f t="shared" si="3"/>
        <v>395586.2202</v>
      </c>
      <c r="R46" s="8">
        <f t="shared" si="3"/>
        <v>336867.0855</v>
      </c>
      <c r="S46" s="52">
        <f>(R46-O46)/O46</f>
        <v>-0.05785765590526818</v>
      </c>
    </row>
    <row r="47" spans="3:18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2" t="s">
        <v>488</v>
      </c>
      <c r="P48" s="22"/>
      <c r="Q48" s="56">
        <f>P46-Q46</f>
        <v>0.2153000000398606</v>
      </c>
      <c r="R48" s="2"/>
    </row>
    <row r="49" spans="15:17" ht="12.75">
      <c r="O49" s="22" t="s">
        <v>761</v>
      </c>
      <c r="P49" s="22"/>
      <c r="Q49" s="56">
        <f>O46-Q46</f>
        <v>-38031.8786385</v>
      </c>
    </row>
    <row r="50" spans="15:17" ht="12.75">
      <c r="O50" s="22" t="s">
        <v>436</v>
      </c>
      <c r="P50" s="22"/>
      <c r="Q50" s="56">
        <f>Q46-R46</f>
        <v>58719.134699999995</v>
      </c>
    </row>
    <row r="51" spans="1:17" ht="12.75">
      <c r="A51" t="s">
        <v>955</v>
      </c>
      <c r="O51" s="22"/>
      <c r="P51" s="22"/>
      <c r="Q51" s="56"/>
    </row>
    <row r="52" ht="12.75">
      <c r="A52" s="33" t="s">
        <v>1055</v>
      </c>
    </row>
    <row r="53" ht="12.75">
      <c r="A53" t="s">
        <v>18</v>
      </c>
    </row>
    <row r="54" ht="12.75">
      <c r="A54" t="s">
        <v>1054</v>
      </c>
    </row>
    <row r="58" spans="15:19" ht="12.75">
      <c r="O58" s="5"/>
      <c r="S58" s="2"/>
    </row>
    <row r="59" ht="12.75">
      <c r="S59" s="2"/>
    </row>
    <row r="62" ht="12.75">
      <c r="O62" s="5"/>
    </row>
    <row r="63" ht="12.75">
      <c r="O63" s="5"/>
    </row>
    <row r="65" ht="12.75">
      <c r="O65" s="5"/>
    </row>
    <row r="67" ht="12.75">
      <c r="O67" s="5"/>
    </row>
    <row r="68" ht="12.75">
      <c r="O68" s="5"/>
    </row>
    <row r="69" ht="12.75">
      <c r="O69" s="5"/>
    </row>
    <row r="73" ht="12.75">
      <c r="O73" s="5"/>
    </row>
    <row r="74" ht="12.75">
      <c r="O74" s="5"/>
    </row>
    <row r="75" ht="12.75">
      <c r="O75" s="5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U74"/>
  <sheetViews>
    <sheetView zoomScale="75" zoomScaleNormal="75" workbookViewId="0" topLeftCell="A1">
      <selection activeCell="R24" sqref="R24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7" width="0.13671875" style="0" hidden="1" customWidth="1"/>
    <col min="8" max="9" width="11.7109375" style="0" hidden="1" customWidth="1"/>
    <col min="10" max="12" width="11.7109375" style="0" customWidth="1"/>
    <col min="13" max="13" width="7.7109375" style="0" bestFit="1" customWidth="1"/>
    <col min="14" max="14" width="7.57421875" style="0" bestFit="1" customWidth="1"/>
    <col min="15" max="15" width="8.7109375" style="0" customWidth="1"/>
    <col min="17" max="17" width="10.7109375" style="0" bestFit="1" customWidth="1"/>
    <col min="19" max="19" width="11.140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477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709</v>
      </c>
      <c r="C7" s="2"/>
      <c r="D7" s="2"/>
      <c r="E7" s="2"/>
      <c r="F7" s="2"/>
      <c r="G7" s="2"/>
      <c r="H7" s="2"/>
      <c r="I7" s="2"/>
      <c r="J7" s="2"/>
      <c r="K7" s="2"/>
      <c r="L7" s="2">
        <v>4874</v>
      </c>
      <c r="M7" s="2"/>
      <c r="N7" s="2"/>
      <c r="O7" s="2"/>
      <c r="P7" s="2"/>
      <c r="Q7" s="2"/>
      <c r="R7" s="2"/>
      <c r="S7" s="52"/>
    </row>
    <row r="8" spans="1:19" ht="11.25" customHeight="1">
      <c r="A8" s="15" t="s">
        <v>280</v>
      </c>
      <c r="B8" s="4">
        <v>52.22</v>
      </c>
      <c r="C8" s="2">
        <v>5520</v>
      </c>
      <c r="D8" s="2">
        <v>2250</v>
      </c>
      <c r="E8" s="2"/>
      <c r="F8" s="2"/>
      <c r="G8" s="2"/>
      <c r="H8" s="2"/>
      <c r="I8" s="2">
        <v>227</v>
      </c>
      <c r="J8" s="2"/>
      <c r="K8" s="2"/>
      <c r="L8" s="2"/>
      <c r="M8" s="2"/>
      <c r="N8" s="2"/>
      <c r="O8" s="2"/>
      <c r="P8" s="2"/>
      <c r="Q8" s="2"/>
      <c r="R8" s="2"/>
      <c r="S8" s="52"/>
    </row>
    <row r="9" spans="1:19" ht="12.75" hidden="1">
      <c r="A9" s="15" t="s">
        <v>404</v>
      </c>
      <c r="B9" s="4"/>
      <c r="C9" s="2"/>
      <c r="D9" s="2"/>
      <c r="E9" s="2"/>
      <c r="F9" s="2">
        <v>529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2"/>
    </row>
    <row r="10" spans="1:19" ht="0.75" customHeight="1" hidden="1">
      <c r="A10" s="15" t="s">
        <v>296</v>
      </c>
      <c r="B10" s="4">
        <v>52.2205</v>
      </c>
      <c r="C10" s="2"/>
      <c r="D10" s="2"/>
      <c r="E10" s="2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2"/>
    </row>
    <row r="11" spans="1:19" ht="12.75" hidden="1">
      <c r="A11" s="15" t="s">
        <v>268</v>
      </c>
      <c r="B11" s="4">
        <v>52.2206</v>
      </c>
      <c r="C11" s="2"/>
      <c r="D11" s="2"/>
      <c r="E11" s="2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2"/>
    </row>
    <row r="12" spans="1:19" ht="12.75">
      <c r="A12" s="15"/>
      <c r="B12" s="4"/>
      <c r="C12" s="2"/>
      <c r="D12" s="2"/>
      <c r="E12" s="2"/>
      <c r="F12" s="2"/>
      <c r="G12" s="2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2"/>
      <c r="S12" s="52"/>
    </row>
    <row r="13" spans="1:19" ht="12.75">
      <c r="A13" s="15" t="s">
        <v>839</v>
      </c>
      <c r="B13" s="4"/>
      <c r="C13" s="2"/>
      <c r="D13" s="2"/>
      <c r="E13" s="2"/>
      <c r="F13" s="2"/>
      <c r="G13" s="2"/>
      <c r="H13" s="2"/>
      <c r="I13" s="2"/>
      <c r="J13" s="2"/>
      <c r="K13" s="2">
        <v>6216</v>
      </c>
      <c r="L13" s="2">
        <v>3589</v>
      </c>
      <c r="M13" s="2"/>
      <c r="N13" s="2"/>
      <c r="O13" s="2">
        <v>1500</v>
      </c>
      <c r="P13" s="2">
        <v>1500</v>
      </c>
      <c r="Q13" s="2">
        <v>1500</v>
      </c>
      <c r="R13" s="2">
        <v>1500</v>
      </c>
      <c r="S13" s="52"/>
    </row>
    <row r="14" spans="1:19" ht="12.75">
      <c r="A14" s="15" t="s">
        <v>281</v>
      </c>
      <c r="B14" s="4">
        <v>53.172</v>
      </c>
      <c r="C14" s="2"/>
      <c r="D14" s="2">
        <v>13</v>
      </c>
      <c r="E14" s="2">
        <v>315</v>
      </c>
      <c r="F14" s="2"/>
      <c r="G14" s="2"/>
      <c r="H14" s="2"/>
      <c r="I14" s="2"/>
      <c r="J14" s="2"/>
      <c r="K14" s="2"/>
      <c r="L14" s="2"/>
      <c r="M14" s="18">
        <v>227.4</v>
      </c>
      <c r="N14" s="2">
        <f aca="true" t="shared" si="0" ref="N14:N19">+M14/$M$3*12</f>
        <v>272.88</v>
      </c>
      <c r="O14" s="2"/>
      <c r="P14" s="2"/>
      <c r="Q14" s="2"/>
      <c r="R14" s="2"/>
      <c r="S14" s="92"/>
    </row>
    <row r="15" spans="1:19" ht="12.75">
      <c r="A15" s="15" t="s">
        <v>282</v>
      </c>
      <c r="B15" s="4">
        <v>53.175</v>
      </c>
      <c r="C15" s="2">
        <v>336</v>
      </c>
      <c r="D15" s="2">
        <v>149</v>
      </c>
      <c r="E15" s="2">
        <v>44</v>
      </c>
      <c r="F15" s="2">
        <v>154</v>
      </c>
      <c r="G15" s="2">
        <v>27</v>
      </c>
      <c r="H15" s="2">
        <v>114</v>
      </c>
      <c r="I15" s="2">
        <v>225</v>
      </c>
      <c r="J15" s="2">
        <v>95</v>
      </c>
      <c r="K15" s="2">
        <v>96</v>
      </c>
      <c r="L15" s="2">
        <v>33</v>
      </c>
      <c r="M15" s="18">
        <v>335</v>
      </c>
      <c r="N15" s="2">
        <f t="shared" si="0"/>
        <v>402</v>
      </c>
      <c r="O15" s="2">
        <v>150</v>
      </c>
      <c r="P15" s="2">
        <v>150</v>
      </c>
      <c r="Q15" s="2">
        <v>150</v>
      </c>
      <c r="R15" s="2">
        <v>150</v>
      </c>
      <c r="S15" s="92"/>
    </row>
    <row r="16" spans="1:19" ht="12.75">
      <c r="A16" s="15" t="s">
        <v>277</v>
      </c>
      <c r="B16" s="4">
        <v>53.176</v>
      </c>
      <c r="C16" s="2">
        <v>41</v>
      </c>
      <c r="D16" s="2">
        <v>45</v>
      </c>
      <c r="E16" s="2">
        <v>575</v>
      </c>
      <c r="F16" s="2">
        <v>32</v>
      </c>
      <c r="G16" s="2">
        <v>17</v>
      </c>
      <c r="H16" s="2">
        <v>46</v>
      </c>
      <c r="I16" s="2">
        <v>37</v>
      </c>
      <c r="J16" s="2">
        <v>38</v>
      </c>
      <c r="K16" s="2">
        <v>34</v>
      </c>
      <c r="L16" s="2">
        <v>29</v>
      </c>
      <c r="M16" s="18">
        <v>10.69</v>
      </c>
      <c r="N16" s="2">
        <f t="shared" si="0"/>
        <v>12.828</v>
      </c>
      <c r="O16" s="2">
        <v>50</v>
      </c>
      <c r="P16" s="2">
        <v>50</v>
      </c>
      <c r="Q16" s="2">
        <v>50</v>
      </c>
      <c r="R16" s="2">
        <v>50</v>
      </c>
      <c r="S16" s="92">
        <f>(R16-O16)/O16</f>
        <v>0</v>
      </c>
    </row>
    <row r="17" spans="1:19" ht="11.25" customHeight="1">
      <c r="A17" s="15" t="s">
        <v>278</v>
      </c>
      <c r="B17" s="4">
        <v>53.177</v>
      </c>
      <c r="C17" s="2">
        <v>184</v>
      </c>
      <c r="D17" s="2">
        <v>179</v>
      </c>
      <c r="E17" s="2">
        <v>221</v>
      </c>
      <c r="F17" s="2"/>
      <c r="G17" s="2"/>
      <c r="H17" s="2">
        <v>200</v>
      </c>
      <c r="I17" s="2"/>
      <c r="J17" s="2">
        <v>234</v>
      </c>
      <c r="K17" s="2"/>
      <c r="L17" s="2">
        <v>156</v>
      </c>
      <c r="M17" s="18">
        <v>176.66</v>
      </c>
      <c r="N17" s="2">
        <f t="shared" si="0"/>
        <v>211.99200000000002</v>
      </c>
      <c r="O17" s="2"/>
      <c r="P17" s="2"/>
      <c r="Q17" s="2"/>
      <c r="R17" s="2"/>
      <c r="S17" s="92"/>
    </row>
    <row r="18" spans="1:19" ht="12.75" hidden="1">
      <c r="A18" s="15" t="s">
        <v>191</v>
      </c>
      <c r="B18" s="4">
        <v>53.178</v>
      </c>
      <c r="C18" s="2"/>
      <c r="D18" s="2">
        <v>150</v>
      </c>
      <c r="E18" s="2"/>
      <c r="F18" s="2"/>
      <c r="G18" s="2"/>
      <c r="H18" s="2"/>
      <c r="I18" s="2"/>
      <c r="J18" s="2"/>
      <c r="K18" s="2"/>
      <c r="L18" s="2"/>
      <c r="M18" s="18">
        <v>402.94</v>
      </c>
      <c r="N18" s="2">
        <f t="shared" si="0"/>
        <v>483.52799999999996</v>
      </c>
      <c r="O18" s="2"/>
      <c r="P18" s="2"/>
      <c r="Q18" s="2"/>
      <c r="R18" s="2"/>
      <c r="S18" s="92"/>
    </row>
    <row r="19" spans="1:19" ht="12.75">
      <c r="A19" s="15" t="s">
        <v>179</v>
      </c>
      <c r="B19" s="4">
        <v>53.179</v>
      </c>
      <c r="C19" s="2">
        <v>896</v>
      </c>
      <c r="D19" s="2">
        <v>1186</v>
      </c>
      <c r="E19" s="2">
        <v>1329</v>
      </c>
      <c r="F19" s="2">
        <v>687</v>
      </c>
      <c r="G19" s="2">
        <v>597</v>
      </c>
      <c r="H19" s="2">
        <v>1100</v>
      </c>
      <c r="I19" s="2">
        <v>1321</v>
      </c>
      <c r="J19" s="2">
        <v>1493</v>
      </c>
      <c r="K19" s="2">
        <v>1460</v>
      </c>
      <c r="L19" s="2">
        <v>1498</v>
      </c>
      <c r="M19" s="18">
        <v>741</v>
      </c>
      <c r="N19" s="2">
        <f t="shared" si="0"/>
        <v>889.1999999999999</v>
      </c>
      <c r="O19" s="2">
        <v>1200</v>
      </c>
      <c r="P19" s="2">
        <v>1200</v>
      </c>
      <c r="Q19" s="2">
        <v>1200</v>
      </c>
      <c r="R19" s="2">
        <v>1200</v>
      </c>
      <c r="S19" s="92">
        <f>(R19-O19)/O19</f>
        <v>0</v>
      </c>
    </row>
    <row r="20" spans="1:19" ht="12.75">
      <c r="A20" s="15" t="s">
        <v>296</v>
      </c>
      <c r="B20" s="4" t="s">
        <v>127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8"/>
      <c r="N20" s="2"/>
      <c r="O20" s="2"/>
      <c r="P20" s="2"/>
      <c r="Q20" s="2"/>
      <c r="R20" s="2"/>
      <c r="S20" s="92"/>
    </row>
    <row r="21" spans="1:21" ht="12.75">
      <c r="A21" s="15" t="s">
        <v>191</v>
      </c>
      <c r="K21">
        <v>54</v>
      </c>
      <c r="M21" s="18"/>
      <c r="S21" s="92"/>
      <c r="U21" t="s">
        <v>683</v>
      </c>
    </row>
    <row r="22" spans="1:20" ht="12.75">
      <c r="A22" t="s">
        <v>283</v>
      </c>
      <c r="B22" s="4">
        <v>57.101</v>
      </c>
      <c r="C22" s="2">
        <v>76644</v>
      </c>
      <c r="D22" s="2">
        <v>78222</v>
      </c>
      <c r="E22" s="2">
        <v>81806</v>
      </c>
      <c r="F22" s="2">
        <v>76562</v>
      </c>
      <c r="G22" s="2">
        <v>76562</v>
      </c>
      <c r="H22" s="2">
        <v>68906</v>
      </c>
      <c r="I22" s="2">
        <v>68904</v>
      </c>
      <c r="J22" s="2">
        <v>68904</v>
      </c>
      <c r="K22" s="2">
        <v>68906</v>
      </c>
      <c r="L22" s="2">
        <v>68905</v>
      </c>
      <c r="M22" s="18">
        <v>55645</v>
      </c>
      <c r="N22" s="2">
        <v>73288</v>
      </c>
      <c r="O22" s="2">
        <v>73288</v>
      </c>
      <c r="P22" s="2">
        <v>73288</v>
      </c>
      <c r="Q22" s="2">
        <v>73288</v>
      </c>
      <c r="R22" s="2">
        <v>73288</v>
      </c>
      <c r="S22" s="92">
        <f>(R22-O22)/O22</f>
        <v>0</v>
      </c>
      <c r="T22" s="6"/>
    </row>
    <row r="23" spans="2:19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18"/>
      <c r="N23" s="2"/>
      <c r="O23" s="2"/>
      <c r="P23" s="2"/>
      <c r="Q23" s="2"/>
      <c r="R23" s="2"/>
      <c r="S23" s="92"/>
    </row>
    <row r="24" spans="1:20" ht="12.75">
      <c r="A24" t="s">
        <v>284</v>
      </c>
      <c r="B24" s="4">
        <v>57.102</v>
      </c>
      <c r="C24" s="2">
        <v>24228</v>
      </c>
      <c r="D24" s="2">
        <v>22209</v>
      </c>
      <c r="E24" s="2">
        <v>22209</v>
      </c>
      <c r="F24" s="2">
        <v>24228</v>
      </c>
      <c r="G24" s="2">
        <v>24228</v>
      </c>
      <c r="H24" s="2"/>
      <c r="I24" s="2">
        <v>6205</v>
      </c>
      <c r="J24" s="2">
        <v>6205</v>
      </c>
      <c r="K24" s="2">
        <v>4886</v>
      </c>
      <c r="L24" s="2">
        <f>4886+1629</f>
        <v>6515</v>
      </c>
      <c r="M24" s="18">
        <v>4178</v>
      </c>
      <c r="N24" s="2">
        <v>5570</v>
      </c>
      <c r="O24" s="2">
        <v>5570</v>
      </c>
      <c r="P24" s="2">
        <v>5570</v>
      </c>
      <c r="Q24" s="2">
        <v>5570</v>
      </c>
      <c r="R24" s="2"/>
      <c r="S24" s="92">
        <f>(R24-O24)/O24</f>
        <v>-1</v>
      </c>
      <c r="T24" s="6"/>
    </row>
    <row r="25" spans="2:19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2"/>
    </row>
    <row r="26" spans="1:19" ht="12.75">
      <c r="A26" s="6" t="s">
        <v>116</v>
      </c>
      <c r="B26" s="6"/>
      <c r="C26" s="8">
        <f aca="true" t="shared" si="1" ref="C26:I26">SUM(C8:C25)</f>
        <v>107849</v>
      </c>
      <c r="D26" s="8">
        <f t="shared" si="1"/>
        <v>104403</v>
      </c>
      <c r="E26" s="8">
        <f t="shared" si="1"/>
        <v>106572</v>
      </c>
      <c r="F26" s="8">
        <f t="shared" si="1"/>
        <v>102192</v>
      </c>
      <c r="G26" s="8">
        <f t="shared" si="1"/>
        <v>101431</v>
      </c>
      <c r="H26" s="8">
        <f t="shared" si="1"/>
        <v>70366</v>
      </c>
      <c r="I26" s="8">
        <f t="shared" si="1"/>
        <v>76919</v>
      </c>
      <c r="J26" s="8">
        <v>77018</v>
      </c>
      <c r="K26" s="8">
        <f aca="true" t="shared" si="2" ref="K26:R26">SUM(K8:K25)</f>
        <v>81652</v>
      </c>
      <c r="L26" s="8">
        <v>85599</v>
      </c>
      <c r="M26" s="8">
        <f t="shared" si="2"/>
        <v>61716.69</v>
      </c>
      <c r="N26" s="8">
        <f t="shared" si="2"/>
        <v>81130.428</v>
      </c>
      <c r="O26" s="8">
        <f t="shared" si="2"/>
        <v>81758</v>
      </c>
      <c r="P26" s="8">
        <f t="shared" si="2"/>
        <v>81758</v>
      </c>
      <c r="Q26" s="8">
        <f t="shared" si="2"/>
        <v>81758</v>
      </c>
      <c r="R26" s="8">
        <f t="shared" si="2"/>
        <v>76188</v>
      </c>
      <c r="S26" s="53">
        <f>(R26-O26)/O26</f>
        <v>-0.06812788962548008</v>
      </c>
    </row>
    <row r="27" spans="3:19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2"/>
    </row>
    <row r="28" spans="3:19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2" t="s">
        <v>488</v>
      </c>
      <c r="P28" s="22"/>
      <c r="Q28" s="56">
        <f>P26-Q26</f>
        <v>0</v>
      </c>
      <c r="R28" s="2"/>
      <c r="S28" s="161">
        <f>R22-Q22</f>
        <v>0</v>
      </c>
    </row>
    <row r="29" spans="15:19" ht="12.75">
      <c r="O29" s="22" t="s">
        <v>761</v>
      </c>
      <c r="P29" s="22"/>
      <c r="Q29" s="56">
        <f>O26-Q26</f>
        <v>0</v>
      </c>
      <c r="S29" s="52"/>
    </row>
    <row r="30" spans="15:19" ht="12.75">
      <c r="O30" s="22" t="s">
        <v>436</v>
      </c>
      <c r="P30" s="22"/>
      <c r="Q30" s="56">
        <f>Q26-R26</f>
        <v>5570</v>
      </c>
      <c r="S30" s="52"/>
    </row>
    <row r="31" spans="1:19" ht="12.75">
      <c r="A31" s="46" t="s">
        <v>995</v>
      </c>
      <c r="S31" s="52"/>
    </row>
    <row r="32" ht="12.75">
      <c r="S32" s="52"/>
    </row>
    <row r="33" ht="12.75">
      <c r="S33" s="52"/>
    </row>
    <row r="34" ht="12.75">
      <c r="S34" s="52"/>
    </row>
    <row r="35" spans="1:19" ht="12.75">
      <c r="A35" s="6"/>
      <c r="M35" s="11"/>
      <c r="N35" s="5"/>
      <c r="S35" s="52"/>
    </row>
    <row r="36" spans="13:19" ht="12.75">
      <c r="M36" s="11"/>
      <c r="S36" s="52"/>
    </row>
    <row r="37" spans="5:19" ht="12.75">
      <c r="E37" s="79">
        <f>24228-2423</f>
        <v>21805</v>
      </c>
      <c r="M37" s="11"/>
      <c r="S37" s="52"/>
    </row>
    <row r="38" spans="5:19" ht="12.75">
      <c r="E38" s="79">
        <f>E37-((1800-500)*12)</f>
        <v>6205</v>
      </c>
      <c r="M38" s="11"/>
      <c r="S38" s="52"/>
    </row>
    <row r="39" spans="13:19" ht="12.75">
      <c r="M39" s="11"/>
      <c r="N39" s="5"/>
      <c r="S39" s="52"/>
    </row>
    <row r="40" spans="1:19" ht="12.75">
      <c r="A40" s="6"/>
      <c r="M40" s="11"/>
      <c r="N40" s="5"/>
      <c r="S40" s="52"/>
    </row>
    <row r="41" spans="13:19" ht="12.75">
      <c r="M41" s="11"/>
      <c r="N41" s="5"/>
      <c r="S41" s="52"/>
    </row>
    <row r="42" spans="13:19" ht="12.75">
      <c r="M42" s="11"/>
      <c r="N42" s="5"/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69" ht="12.75">
      <c r="S69" s="2"/>
    </row>
    <row r="70" ht="12.75">
      <c r="S70" s="2"/>
    </row>
    <row r="71" ht="12.75">
      <c r="S71" s="2"/>
    </row>
    <row r="72" ht="12.75">
      <c r="S72" s="2"/>
    </row>
    <row r="73" ht="12.75">
      <c r="S73" s="2"/>
    </row>
    <row r="74" ht="12.75">
      <c r="S74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T70"/>
  <sheetViews>
    <sheetView zoomScale="75" zoomScaleNormal="75" workbookViewId="0" topLeftCell="A1">
      <selection activeCell="R17" sqref="R17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2890625" style="0" hidden="1" customWidth="1"/>
    <col min="4" max="5" width="11.7109375" style="0" hidden="1" customWidth="1"/>
    <col min="6" max="6" width="0.2890625" style="0" hidden="1" customWidth="1"/>
    <col min="7" max="7" width="7.57421875" style="0" hidden="1" customWidth="1"/>
    <col min="8" max="9" width="11.7109375" style="0" hidden="1" customWidth="1"/>
    <col min="10" max="13" width="11.7109375" style="0" customWidth="1"/>
    <col min="14" max="14" width="13.421875" style="0" bestFit="1" customWidth="1"/>
    <col min="15" max="15" width="10.28125" style="0" customWidth="1"/>
    <col min="16" max="16" width="9.00390625" style="0" customWidth="1"/>
    <col min="17" max="17" width="9.421875" style="0" bestFit="1" customWidth="1"/>
    <col min="18" max="18" width="8.710937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478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97" t="s">
        <v>529</v>
      </c>
      <c r="Q4" s="97" t="s">
        <v>431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97" t="s">
        <v>544</v>
      </c>
      <c r="Q5" s="97" t="s">
        <v>691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710</v>
      </c>
      <c r="B7" s="4">
        <v>52.1255</v>
      </c>
      <c r="C7" s="2">
        <v>0</v>
      </c>
      <c r="D7" s="2">
        <v>0</v>
      </c>
      <c r="E7" s="2">
        <v>150</v>
      </c>
      <c r="F7" s="2">
        <v>300</v>
      </c>
      <c r="G7" s="2">
        <v>1274</v>
      </c>
      <c r="H7" s="2"/>
      <c r="I7" s="2"/>
      <c r="J7" s="2">
        <v>300</v>
      </c>
      <c r="K7" s="2">
        <v>150</v>
      </c>
      <c r="L7" s="2"/>
      <c r="N7" s="2">
        <f aca="true" t="shared" si="0" ref="N7:N13">+M7/$M$3*12</f>
        <v>0</v>
      </c>
      <c r="O7" s="2">
        <v>300</v>
      </c>
      <c r="P7" s="2"/>
      <c r="Q7" s="2"/>
      <c r="R7" s="2"/>
      <c r="S7" s="92">
        <f>(R7-O7)/O7</f>
        <v>-1</v>
      </c>
    </row>
    <row r="8" spans="1:20" ht="12.75">
      <c r="A8" t="s">
        <v>625</v>
      </c>
      <c r="B8" s="4">
        <v>52.2214</v>
      </c>
      <c r="C8" s="2"/>
      <c r="D8" s="2"/>
      <c r="E8" s="2"/>
      <c r="F8" s="2"/>
      <c r="G8" s="2"/>
      <c r="H8" s="2">
        <v>8169</v>
      </c>
      <c r="I8" s="2">
        <v>28968</v>
      </c>
      <c r="J8" s="2">
        <v>34809</v>
      </c>
      <c r="K8" s="2">
        <v>67612</v>
      </c>
      <c r="L8" s="2">
        <f>54557+3048</f>
        <v>57605</v>
      </c>
      <c r="M8" s="2">
        <v>3888</v>
      </c>
      <c r="N8" s="2">
        <v>4000</v>
      </c>
      <c r="O8" s="2">
        <v>40000</v>
      </c>
      <c r="P8" s="2"/>
      <c r="Q8" s="2"/>
      <c r="R8" s="2"/>
      <c r="S8" s="92">
        <f>(R8-O8)/O8</f>
        <v>-1</v>
      </c>
      <c r="T8" t="s">
        <v>376</v>
      </c>
    </row>
    <row r="9" spans="1:19" ht="12.75">
      <c r="A9" t="s">
        <v>286</v>
      </c>
      <c r="B9" s="4">
        <v>52.301</v>
      </c>
      <c r="C9" s="2"/>
      <c r="D9" s="2"/>
      <c r="E9" s="2">
        <v>4695</v>
      </c>
      <c r="F9" s="2">
        <v>4688</v>
      </c>
      <c r="G9" s="2">
        <v>3931</v>
      </c>
      <c r="H9" s="2">
        <v>3366</v>
      </c>
      <c r="I9" s="2"/>
      <c r="J9" s="2"/>
      <c r="K9" s="2"/>
      <c r="L9" s="2"/>
      <c r="M9" s="2"/>
      <c r="N9" s="2">
        <f t="shared" si="0"/>
        <v>0</v>
      </c>
      <c r="O9" s="2"/>
      <c r="P9" s="2"/>
      <c r="Q9" s="2"/>
      <c r="R9" s="2"/>
      <c r="S9" s="92"/>
    </row>
    <row r="10" spans="1:19" ht="12.75">
      <c r="A10" t="s">
        <v>268</v>
      </c>
      <c r="B10" s="4">
        <v>52.2206</v>
      </c>
      <c r="I10">
        <v>10</v>
      </c>
      <c r="J10">
        <v>40</v>
      </c>
      <c r="K10">
        <v>350</v>
      </c>
      <c r="N10" s="2">
        <f t="shared" si="0"/>
        <v>0</v>
      </c>
      <c r="S10" s="93"/>
    </row>
    <row r="11" spans="1:20" ht="12.75">
      <c r="A11" t="s">
        <v>379</v>
      </c>
      <c r="B11" s="4">
        <v>53.175</v>
      </c>
      <c r="E11">
        <v>37</v>
      </c>
      <c r="F11">
        <v>85</v>
      </c>
      <c r="G11">
        <v>93</v>
      </c>
      <c r="H11" s="2">
        <v>75</v>
      </c>
      <c r="I11" s="2">
        <v>175</v>
      </c>
      <c r="J11" s="2">
        <v>1890</v>
      </c>
      <c r="K11" s="2">
        <v>2295</v>
      </c>
      <c r="L11" s="2">
        <v>90</v>
      </c>
      <c r="M11" s="2"/>
      <c r="N11" s="2">
        <f t="shared" si="0"/>
        <v>0</v>
      </c>
      <c r="O11" s="2">
        <v>100</v>
      </c>
      <c r="P11" s="2"/>
      <c r="Q11" s="2"/>
      <c r="R11" s="2"/>
      <c r="S11" s="92">
        <f>(R11-O11)/O11</f>
        <v>-1</v>
      </c>
      <c r="T11" t="s">
        <v>376</v>
      </c>
    </row>
    <row r="12" spans="1:20" ht="12.75">
      <c r="A12" t="s">
        <v>405</v>
      </c>
      <c r="B12" s="4">
        <v>53.176</v>
      </c>
      <c r="E12">
        <v>37</v>
      </c>
      <c r="F12">
        <v>44</v>
      </c>
      <c r="G12">
        <v>71</v>
      </c>
      <c r="H12" s="2">
        <v>52</v>
      </c>
      <c r="I12" s="2">
        <v>76</v>
      </c>
      <c r="J12" s="2">
        <v>83</v>
      </c>
      <c r="K12" s="2">
        <v>90</v>
      </c>
      <c r="L12" s="2">
        <v>22</v>
      </c>
      <c r="M12" s="2"/>
      <c r="N12" s="2">
        <f t="shared" si="0"/>
        <v>0</v>
      </c>
      <c r="O12" s="2">
        <v>100</v>
      </c>
      <c r="P12" s="2"/>
      <c r="Q12" s="2"/>
      <c r="R12" s="2"/>
      <c r="S12" s="92">
        <f>(R12-O12)/O12</f>
        <v>-1</v>
      </c>
      <c r="T12" t="s">
        <v>376</v>
      </c>
    </row>
    <row r="13" spans="1:19" ht="12.75">
      <c r="A13" t="s">
        <v>692</v>
      </c>
      <c r="B13" s="4">
        <v>53.177</v>
      </c>
      <c r="E13">
        <v>276</v>
      </c>
      <c r="F13">
        <v>342</v>
      </c>
      <c r="G13">
        <v>182</v>
      </c>
      <c r="H13" s="2">
        <v>198</v>
      </c>
      <c r="I13" s="2">
        <v>512</v>
      </c>
      <c r="J13" s="2">
        <v>98</v>
      </c>
      <c r="K13" s="2">
        <v>431</v>
      </c>
      <c r="L13" s="2"/>
      <c r="M13" s="2"/>
      <c r="N13" s="2">
        <f t="shared" si="0"/>
        <v>0</v>
      </c>
      <c r="S13" s="92"/>
    </row>
    <row r="14" spans="1:19" ht="12.75">
      <c r="A14" t="s">
        <v>191</v>
      </c>
      <c r="B14" s="4">
        <v>53.178</v>
      </c>
      <c r="C14" s="2"/>
      <c r="D14" s="2">
        <v>531</v>
      </c>
      <c r="E14" s="2">
        <v>1679</v>
      </c>
      <c r="F14" s="2">
        <v>1172</v>
      </c>
      <c r="G14" s="2">
        <v>56</v>
      </c>
      <c r="H14" s="2">
        <v>50</v>
      </c>
      <c r="I14" s="2"/>
      <c r="J14" s="2"/>
      <c r="K14" s="2"/>
      <c r="L14" s="2"/>
      <c r="M14" s="2"/>
      <c r="N14" s="2">
        <f>+M14/$M$3*12</f>
        <v>0</v>
      </c>
      <c r="O14" s="2"/>
      <c r="P14" s="2"/>
      <c r="Q14" s="2"/>
      <c r="R14" s="2"/>
      <c r="S14" s="92"/>
    </row>
    <row r="15" spans="1:20" ht="12.75">
      <c r="A15" t="s">
        <v>179</v>
      </c>
      <c r="B15" s="4">
        <v>53.179</v>
      </c>
      <c r="C15" s="2"/>
      <c r="D15" s="2"/>
      <c r="E15" s="2"/>
      <c r="F15" s="2"/>
      <c r="G15" s="2">
        <v>1870</v>
      </c>
      <c r="H15" s="2">
        <v>1473</v>
      </c>
      <c r="I15" s="2">
        <v>3535</v>
      </c>
      <c r="J15" s="2">
        <v>3648</v>
      </c>
      <c r="K15" s="2">
        <v>3212</v>
      </c>
      <c r="L15" s="2">
        <v>1325</v>
      </c>
      <c r="M15" s="2"/>
      <c r="N15" s="2">
        <f>+M15/$M$3*12</f>
        <v>0</v>
      </c>
      <c r="O15" s="2">
        <v>3200</v>
      </c>
      <c r="P15" s="2"/>
      <c r="Q15" s="2"/>
      <c r="R15" s="2"/>
      <c r="S15" s="92">
        <f>(R15-O15)/O15</f>
        <v>-1</v>
      </c>
      <c r="T15" t="s">
        <v>376</v>
      </c>
    </row>
    <row r="16" spans="2:19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2"/>
    </row>
    <row r="17" spans="1:20" ht="12.75">
      <c r="A17" t="s">
        <v>285</v>
      </c>
      <c r="B17" s="4">
        <v>57.103</v>
      </c>
      <c r="C17" s="2"/>
      <c r="D17" s="2"/>
      <c r="E17" s="2">
        <v>53736</v>
      </c>
      <c r="F17" s="2">
        <v>59819</v>
      </c>
      <c r="G17" s="2">
        <v>49700</v>
      </c>
      <c r="H17" s="2">
        <v>44010</v>
      </c>
      <c r="I17" s="2">
        <v>58680</v>
      </c>
      <c r="J17" s="2">
        <v>58680</v>
      </c>
      <c r="K17" s="2">
        <v>72545</v>
      </c>
      <c r="L17" s="2">
        <v>60000</v>
      </c>
      <c r="M17" s="2">
        <v>54000</v>
      </c>
      <c r="N17" s="2">
        <v>54000</v>
      </c>
      <c r="O17" s="2">
        <v>54000</v>
      </c>
      <c r="P17" s="2">
        <v>65709</v>
      </c>
      <c r="Q17" s="2">
        <v>54000</v>
      </c>
      <c r="R17" s="2">
        <v>40000</v>
      </c>
      <c r="S17" s="92">
        <f>(R17-O17)/O17</f>
        <v>-0.25925925925925924</v>
      </c>
      <c r="T17" s="6"/>
    </row>
    <row r="18" spans="1:19" ht="12.75">
      <c r="A18" t="s">
        <v>648</v>
      </c>
      <c r="B18" s="4"/>
      <c r="C18" s="2"/>
      <c r="D18" s="2"/>
      <c r="E18" s="2"/>
      <c r="F18" s="2"/>
      <c r="G18" s="2"/>
      <c r="H18" s="2"/>
      <c r="I18" s="2">
        <v>14670</v>
      </c>
      <c r="J18" s="2"/>
      <c r="K18" s="2"/>
      <c r="L18" s="2"/>
      <c r="M18" s="2"/>
      <c r="N18" s="2"/>
      <c r="O18" s="2"/>
      <c r="P18" s="2"/>
      <c r="Q18" s="2"/>
      <c r="R18" s="2"/>
      <c r="S18" s="52"/>
    </row>
    <row r="19" spans="1:19" ht="12.75">
      <c r="A19" t="s">
        <v>985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>
        <v>15409</v>
      </c>
      <c r="M19" s="2"/>
      <c r="N19" s="2"/>
      <c r="O19" s="2"/>
      <c r="P19" s="2"/>
      <c r="Q19" s="2"/>
      <c r="R19" s="2"/>
      <c r="S19" s="52"/>
    </row>
    <row r="20" spans="1:20" ht="12.75" hidden="1">
      <c r="A20" t="s">
        <v>984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2"/>
      <c r="T20" t="s">
        <v>514</v>
      </c>
    </row>
    <row r="21" spans="1:19" ht="12.75">
      <c r="A21" t="s">
        <v>752</v>
      </c>
      <c r="B21" s="4">
        <v>57.1032</v>
      </c>
      <c r="C21" s="2"/>
      <c r="D21" s="2"/>
      <c r="E21" s="2"/>
      <c r="F21" s="2"/>
      <c r="G21" s="2"/>
      <c r="H21" s="2"/>
      <c r="I21" s="2"/>
      <c r="J21" s="2">
        <v>7500</v>
      </c>
      <c r="K21" s="2"/>
      <c r="L21" s="2"/>
      <c r="M21" s="2"/>
      <c r="N21" s="2"/>
      <c r="O21" s="2"/>
      <c r="P21" s="2"/>
      <c r="Q21" s="2"/>
      <c r="R21" s="2"/>
      <c r="S21" s="52"/>
    </row>
    <row r="22" spans="2:19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2"/>
    </row>
    <row r="23" spans="1:19" ht="12.75">
      <c r="A23" s="6" t="s">
        <v>116</v>
      </c>
      <c r="B23" s="6"/>
      <c r="C23" s="8">
        <f>SUM(C11:C16)</f>
        <v>0</v>
      </c>
      <c r="D23" s="8">
        <f>SUM(D11:D16)</f>
        <v>531</v>
      </c>
      <c r="E23" s="8">
        <f>SUM(E7:E22)</f>
        <v>60610</v>
      </c>
      <c r="F23" s="8">
        <f>SUM(F7:F22)</f>
        <v>66450</v>
      </c>
      <c r="G23" s="8">
        <f>SUM(G7:G22)</f>
        <v>57177</v>
      </c>
      <c r="H23" s="8">
        <f>SUM(H7:H22)</f>
        <v>57393</v>
      </c>
      <c r="I23" s="8">
        <f>SUM(I7:I22)</f>
        <v>106626</v>
      </c>
      <c r="J23" s="8">
        <v>107047</v>
      </c>
      <c r="K23" s="8">
        <f aca="true" t="shared" si="1" ref="K23:R23">SUM(K7:K22)</f>
        <v>146685</v>
      </c>
      <c r="L23" s="8">
        <v>134451</v>
      </c>
      <c r="M23" s="8">
        <f t="shared" si="1"/>
        <v>57888</v>
      </c>
      <c r="N23" s="8">
        <f t="shared" si="1"/>
        <v>58000</v>
      </c>
      <c r="O23" s="8">
        <f t="shared" si="1"/>
        <v>97700</v>
      </c>
      <c r="P23" s="8">
        <f t="shared" si="1"/>
        <v>65709</v>
      </c>
      <c r="Q23" s="8">
        <f t="shared" si="1"/>
        <v>54000</v>
      </c>
      <c r="R23" s="8">
        <f t="shared" si="1"/>
        <v>40000</v>
      </c>
      <c r="S23" s="53">
        <f>(R23-O23)/O23</f>
        <v>-0.5905834186284544</v>
      </c>
    </row>
    <row r="24" spans="3:19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2"/>
    </row>
    <row r="25" spans="3:19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2" t="s">
        <v>488</v>
      </c>
      <c r="P25" s="22"/>
      <c r="Q25" s="56">
        <f>P23-Q23</f>
        <v>11709</v>
      </c>
      <c r="R25" s="2"/>
      <c r="S25" s="52"/>
    </row>
    <row r="26" spans="15:19" ht="12.75">
      <c r="O26" s="22" t="s">
        <v>761</v>
      </c>
      <c r="P26" s="22"/>
      <c r="Q26" s="56">
        <f>O23-Q23</f>
        <v>43700</v>
      </c>
      <c r="S26" s="52"/>
    </row>
    <row r="27" spans="15:19" ht="12.75">
      <c r="O27" s="22" t="s">
        <v>436</v>
      </c>
      <c r="P27" s="22"/>
      <c r="Q27" s="56">
        <f>Q23-R23</f>
        <v>14000</v>
      </c>
      <c r="S27" s="52"/>
    </row>
    <row r="28" spans="1:19" ht="12.75">
      <c r="A28" t="s">
        <v>711</v>
      </c>
      <c r="B28">
        <v>33.4119</v>
      </c>
      <c r="I28">
        <v>32860</v>
      </c>
      <c r="J28" s="43">
        <v>44323.5</v>
      </c>
      <c r="K28" s="43">
        <v>53607</v>
      </c>
      <c r="L28" s="43">
        <v>38248</v>
      </c>
      <c r="S28" s="52"/>
    </row>
    <row r="29" ht="12.75">
      <c r="S29" s="52"/>
    </row>
    <row r="30" spans="1:19" ht="12.75">
      <c r="A30" s="22" t="s">
        <v>40</v>
      </c>
      <c r="S30" s="52"/>
    </row>
    <row r="31" spans="1:19" ht="12.75">
      <c r="A31" s="6" t="s">
        <v>1019</v>
      </c>
      <c r="N31" s="4"/>
      <c r="O31" s="168"/>
      <c r="S31" s="52"/>
    </row>
    <row r="32" ht="12.75">
      <c r="S32" s="52"/>
    </row>
    <row r="33" spans="1:19" ht="12.75">
      <c r="A33" s="6"/>
      <c r="S33" s="52"/>
    </row>
    <row r="34" ht="12.75">
      <c r="S34" s="52"/>
    </row>
    <row r="35" ht="12.75">
      <c r="S35" s="52"/>
    </row>
    <row r="36" spans="14:19" ht="12.75">
      <c r="N36" s="5"/>
      <c r="O36" s="5"/>
      <c r="S36" s="52"/>
    </row>
    <row r="37" ht="12.75">
      <c r="S37" s="52"/>
    </row>
    <row r="38" ht="12.75">
      <c r="S38" s="52"/>
    </row>
    <row r="39" spans="15:19" ht="12.75">
      <c r="O39" s="5"/>
      <c r="S39" s="52"/>
    </row>
    <row r="40" spans="14:19" ht="12.75">
      <c r="N40" s="5"/>
      <c r="O40" s="5"/>
      <c r="S40" s="52"/>
    </row>
    <row r="41" spans="14:19" ht="12.75">
      <c r="N41" s="5"/>
      <c r="O41" s="5"/>
      <c r="S41" s="52"/>
    </row>
    <row r="42" spans="14:19" ht="12.75">
      <c r="N42" s="5"/>
      <c r="O42" s="5"/>
      <c r="S42" s="52"/>
    </row>
    <row r="43" ht="12.75">
      <c r="S43" s="52"/>
    </row>
    <row r="65" ht="12.75"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  <row r="70" ht="12.75">
      <c r="S70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T77"/>
  <sheetViews>
    <sheetView zoomScale="75" zoomScaleNormal="75" workbookViewId="0" topLeftCell="A1">
      <selection activeCell="R32" sqref="R3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8.7109375" style="0" bestFit="1" customWidth="1"/>
    <col min="19" max="19" width="9.421875" style="0" bestFit="1" customWidth="1"/>
    <col min="20" max="20" width="6.8515625" style="0" bestFit="1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479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686</v>
      </c>
      <c r="B7" s="4">
        <v>51.11</v>
      </c>
      <c r="C7" s="2">
        <v>35448</v>
      </c>
      <c r="D7" s="2">
        <v>40426</v>
      </c>
      <c r="E7" s="2">
        <v>42496</v>
      </c>
      <c r="F7" s="2">
        <v>44113</v>
      </c>
      <c r="G7" s="2">
        <v>45554</v>
      </c>
      <c r="H7" s="2">
        <v>46594</v>
      </c>
      <c r="I7" s="2">
        <v>47794</v>
      </c>
      <c r="J7" s="2">
        <v>51053</v>
      </c>
      <c r="K7" s="2">
        <v>56189</v>
      </c>
      <c r="L7" s="2">
        <v>52182</v>
      </c>
      <c r="M7" s="2">
        <v>36057</v>
      </c>
      <c r="N7" s="2">
        <f>+M7/$M$3*12</f>
        <v>43268.399999999994</v>
      </c>
      <c r="O7" s="2">
        <v>57877.1375</v>
      </c>
      <c r="P7" s="2"/>
      <c r="Q7" s="176"/>
      <c r="R7" s="2"/>
      <c r="S7" s="92">
        <f>(R7-O7)/O7</f>
        <v>-1</v>
      </c>
      <c r="T7" t="s">
        <v>87</v>
      </c>
    </row>
    <row r="8" spans="1:20" ht="12.75">
      <c r="A8" t="s">
        <v>79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92"/>
      <c r="T8" t="s">
        <v>515</v>
      </c>
    </row>
    <row r="9" spans="1:20" ht="12.75">
      <c r="A9" t="s">
        <v>494</v>
      </c>
      <c r="B9" s="4">
        <v>51.21</v>
      </c>
      <c r="C9" s="2">
        <v>2184</v>
      </c>
      <c r="D9" s="2">
        <v>2518</v>
      </c>
      <c r="E9" s="2">
        <v>3182</v>
      </c>
      <c r="F9" s="2">
        <v>2840</v>
      </c>
      <c r="G9" s="2">
        <v>3023</v>
      </c>
      <c r="H9" s="2">
        <v>3161</v>
      </c>
      <c r="I9" s="2">
        <v>3184</v>
      </c>
      <c r="J9" s="2">
        <v>3398</v>
      </c>
      <c r="K9" s="2">
        <v>4011</v>
      </c>
      <c r="L9" s="2">
        <v>4690</v>
      </c>
      <c r="M9" s="2">
        <v>3789</v>
      </c>
      <c r="N9" s="2">
        <f>+M9/$M$3*12</f>
        <v>4546.799999999999</v>
      </c>
      <c r="O9" s="31">
        <v>4800</v>
      </c>
      <c r="P9" s="31"/>
      <c r="Q9" s="31"/>
      <c r="R9" s="31"/>
      <c r="S9" s="92">
        <f>(R9-O9)/O9</f>
        <v>-1</v>
      </c>
      <c r="T9" t="s">
        <v>825</v>
      </c>
    </row>
    <row r="10" spans="1:19" ht="12.75">
      <c r="A10" t="s">
        <v>139</v>
      </c>
      <c r="B10" s="4">
        <v>51.22</v>
      </c>
      <c r="C10" s="2">
        <v>2711</v>
      </c>
      <c r="D10" s="2">
        <v>3092</v>
      </c>
      <c r="E10" s="2">
        <v>3255</v>
      </c>
      <c r="F10" s="2">
        <v>3436</v>
      </c>
      <c r="G10" s="2">
        <v>3483</v>
      </c>
      <c r="H10" s="2">
        <v>3564</v>
      </c>
      <c r="I10" s="2">
        <v>3630</v>
      </c>
      <c r="J10" s="2">
        <v>3878</v>
      </c>
      <c r="K10" s="2">
        <v>4369</v>
      </c>
      <c r="L10" s="2">
        <v>4142</v>
      </c>
      <c r="M10" s="2">
        <v>2874</v>
      </c>
      <c r="N10" s="2">
        <f>+M10/$M$3*12</f>
        <v>3448.7999999999997</v>
      </c>
      <c r="O10" s="2">
        <v>4427.60101875</v>
      </c>
      <c r="P10" s="2"/>
      <c r="Q10" s="2"/>
      <c r="R10" s="2"/>
      <c r="S10" s="92">
        <f>(R10-O10)/O10</f>
        <v>-1</v>
      </c>
    </row>
    <row r="11" spans="1:19" ht="12.75">
      <c r="A11" t="s">
        <v>153</v>
      </c>
      <c r="B11" s="4">
        <v>51.24</v>
      </c>
      <c r="C11" s="2">
        <v>740</v>
      </c>
      <c r="D11" s="2">
        <v>839</v>
      </c>
      <c r="E11" s="2">
        <v>889</v>
      </c>
      <c r="F11" s="2">
        <v>920</v>
      </c>
      <c r="G11" s="2">
        <v>948</v>
      </c>
      <c r="H11" s="2">
        <v>976</v>
      </c>
      <c r="I11" s="2">
        <v>1360</v>
      </c>
      <c r="J11" s="2">
        <v>1072</v>
      </c>
      <c r="K11" s="2">
        <v>1158</v>
      </c>
      <c r="L11" s="2">
        <v>1215</v>
      </c>
      <c r="M11" s="2">
        <v>415.3</v>
      </c>
      <c r="N11" s="2">
        <f>+M11/$M$3*12</f>
        <v>498.36</v>
      </c>
      <c r="O11" s="20">
        <v>1300</v>
      </c>
      <c r="P11" s="2"/>
      <c r="Q11" s="20"/>
      <c r="R11" s="20"/>
      <c r="S11" s="92">
        <f>(R11-O11)/O11</f>
        <v>-1</v>
      </c>
    </row>
    <row r="12" spans="2:19" ht="12.75">
      <c r="B12" s="4"/>
      <c r="C12" s="2"/>
      <c r="D12" s="2"/>
      <c r="E12" s="2"/>
      <c r="F12" s="2"/>
      <c r="G12" s="2"/>
      <c r="H12" s="2"/>
      <c r="I12" s="2">
        <v>25</v>
      </c>
      <c r="J12" s="2"/>
      <c r="K12" s="2"/>
      <c r="L12" s="2"/>
      <c r="M12" s="2"/>
      <c r="N12" s="2"/>
      <c r="O12" s="13"/>
      <c r="P12" s="2"/>
      <c r="Q12" s="13"/>
      <c r="R12" s="13"/>
      <c r="S12" s="92"/>
    </row>
    <row r="13" spans="1:19" ht="12.75">
      <c r="A13" t="s">
        <v>401</v>
      </c>
      <c r="B13" s="4">
        <v>52.21</v>
      </c>
      <c r="C13" s="2"/>
      <c r="D13" s="2"/>
      <c r="E13" s="2"/>
      <c r="F13" s="2">
        <v>201</v>
      </c>
      <c r="G13" s="2"/>
      <c r="H13" s="2"/>
      <c r="I13" s="2"/>
      <c r="J13" s="2"/>
      <c r="K13" s="2"/>
      <c r="L13" s="2">
        <v>472</v>
      </c>
      <c r="M13" s="2"/>
      <c r="N13" s="2"/>
      <c r="O13" s="20"/>
      <c r="P13" s="2"/>
      <c r="Q13" s="20"/>
      <c r="R13" s="20"/>
      <c r="S13" s="92"/>
    </row>
    <row r="14" spans="1:20" ht="12.75">
      <c r="A14" t="s">
        <v>196</v>
      </c>
      <c r="B14" s="4">
        <v>52.211</v>
      </c>
      <c r="C14" s="2"/>
      <c r="D14" s="2"/>
      <c r="E14" s="2">
        <v>694</v>
      </c>
      <c r="F14" s="2">
        <v>202</v>
      </c>
      <c r="G14" s="2">
        <v>339</v>
      </c>
      <c r="H14" s="2">
        <v>366</v>
      </c>
      <c r="I14" s="2">
        <f>376+34</f>
        <v>410</v>
      </c>
      <c r="J14" s="2">
        <v>403</v>
      </c>
      <c r="K14" s="2">
        <v>463</v>
      </c>
      <c r="L14" s="2"/>
      <c r="M14" s="2">
        <v>406</v>
      </c>
      <c r="N14" s="2">
        <f>+M14/$M$3*12</f>
        <v>487.20000000000005</v>
      </c>
      <c r="O14" s="2">
        <v>475</v>
      </c>
      <c r="P14" s="2"/>
      <c r="Q14" s="2"/>
      <c r="R14" s="2"/>
      <c r="S14" s="92">
        <f>(R14-O14)/O14</f>
        <v>-1</v>
      </c>
      <c r="T14" s="15"/>
    </row>
    <row r="15" spans="1:19" ht="12.75" hidden="1">
      <c r="A15" t="s">
        <v>288</v>
      </c>
      <c r="B15" s="4">
        <v>52.2201</v>
      </c>
      <c r="C15" s="2"/>
      <c r="D15" s="2"/>
      <c r="E15" s="2">
        <v>180</v>
      </c>
      <c r="F15" s="2">
        <v>195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</row>
    <row r="16" spans="1:20" ht="12.75">
      <c r="A16" t="s">
        <v>141</v>
      </c>
      <c r="B16" s="4">
        <v>52.32</v>
      </c>
      <c r="C16" s="2">
        <v>222</v>
      </c>
      <c r="D16" s="2">
        <v>333</v>
      </c>
      <c r="E16" s="2">
        <v>464</v>
      </c>
      <c r="F16" s="2">
        <v>910</v>
      </c>
      <c r="G16" s="2">
        <v>931</v>
      </c>
      <c r="H16" s="2">
        <v>622</v>
      </c>
      <c r="I16" s="2">
        <v>770</v>
      </c>
      <c r="J16" s="2">
        <v>699</v>
      </c>
      <c r="K16" s="2">
        <v>732</v>
      </c>
      <c r="L16" s="2">
        <v>864</v>
      </c>
      <c r="M16" s="2">
        <v>590</v>
      </c>
      <c r="N16" s="2">
        <f>+M16/$M$3*12</f>
        <v>708</v>
      </c>
      <c r="O16" s="2">
        <v>500</v>
      </c>
      <c r="P16" s="2"/>
      <c r="Q16" s="2"/>
      <c r="R16" s="2"/>
      <c r="S16" s="92">
        <f>(R16-O16)/O16</f>
        <v>-1</v>
      </c>
      <c r="T16" s="33"/>
    </row>
    <row r="17" spans="1:19" ht="12.75">
      <c r="A17" t="s">
        <v>142</v>
      </c>
      <c r="B17" s="4">
        <v>52.321</v>
      </c>
      <c r="C17" s="2">
        <v>81</v>
      </c>
      <c r="D17" s="2">
        <v>45</v>
      </c>
      <c r="E17" s="2">
        <v>68</v>
      </c>
      <c r="F17" s="2">
        <v>68</v>
      </c>
      <c r="G17" s="2">
        <v>105</v>
      </c>
      <c r="H17" s="2">
        <v>37</v>
      </c>
      <c r="I17" s="2">
        <v>37</v>
      </c>
      <c r="J17" s="2"/>
      <c r="K17" s="2"/>
      <c r="L17" s="2">
        <v>42</v>
      </c>
      <c r="M17" s="2"/>
      <c r="N17" s="2"/>
      <c r="O17" s="2">
        <v>50</v>
      </c>
      <c r="P17" s="2"/>
      <c r="Q17" s="2"/>
      <c r="R17" s="2"/>
      <c r="S17" s="92">
        <f>(R17-O17)/O17</f>
        <v>-1</v>
      </c>
    </row>
    <row r="18" spans="1:20" ht="12.75">
      <c r="A18" t="s">
        <v>143</v>
      </c>
      <c r="B18" s="4">
        <v>52.35</v>
      </c>
      <c r="C18" s="2">
        <v>603</v>
      </c>
      <c r="D18" s="2">
        <v>961</v>
      </c>
      <c r="E18" s="2">
        <v>623</v>
      </c>
      <c r="F18" s="2">
        <v>940</v>
      </c>
      <c r="G18" s="2">
        <v>967</v>
      </c>
      <c r="H18" s="2">
        <v>481</v>
      </c>
      <c r="I18" s="2">
        <v>241</v>
      </c>
      <c r="J18" s="2">
        <v>167</v>
      </c>
      <c r="K18" s="2">
        <v>542</v>
      </c>
      <c r="L18" s="2"/>
      <c r="M18" s="2"/>
      <c r="N18" s="2"/>
      <c r="O18" s="2">
        <v>500</v>
      </c>
      <c r="P18" s="2"/>
      <c r="Q18" s="2"/>
      <c r="R18" s="2"/>
      <c r="S18" s="92">
        <f>(R18-O18)/O18</f>
        <v>-1</v>
      </c>
      <c r="T18" s="33"/>
    </row>
    <row r="19" spans="1:20" ht="12.75">
      <c r="A19" t="s">
        <v>213</v>
      </c>
      <c r="B19" s="4">
        <v>52.3602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150</v>
      </c>
      <c r="N19" s="2">
        <v>150</v>
      </c>
      <c r="O19" s="2"/>
      <c r="P19" s="2"/>
      <c r="Q19" s="2"/>
      <c r="R19" s="2"/>
      <c r="S19" s="92"/>
      <c r="T19" s="33" t="s">
        <v>601</v>
      </c>
    </row>
    <row r="20" spans="2:19" ht="12.75">
      <c r="B20" s="4"/>
      <c r="C20" s="2"/>
      <c r="D20" s="2"/>
      <c r="E20" s="2"/>
      <c r="F20" s="2"/>
      <c r="G20" s="2"/>
      <c r="H20" s="2"/>
      <c r="I20" s="2">
        <v>716</v>
      </c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19" ht="12.75">
      <c r="A21" t="s">
        <v>148</v>
      </c>
      <c r="B21" s="4">
        <v>53.12</v>
      </c>
      <c r="C21" s="2">
        <v>6701</v>
      </c>
      <c r="D21" s="2">
        <v>6238</v>
      </c>
      <c r="E21" s="2">
        <v>6325</v>
      </c>
      <c r="F21" s="2">
        <v>5755</v>
      </c>
      <c r="G21" s="2">
        <v>6704</v>
      </c>
      <c r="H21" s="2">
        <v>7029</v>
      </c>
      <c r="I21" s="2">
        <v>7461</v>
      </c>
      <c r="J21" s="2">
        <v>8287</v>
      </c>
      <c r="K21" s="2">
        <v>8318</v>
      </c>
      <c r="L21" s="2">
        <v>9392</v>
      </c>
      <c r="M21" s="2">
        <v>7458</v>
      </c>
      <c r="N21" s="2">
        <f>+M21/$M$3*12</f>
        <v>8949.599999999999</v>
      </c>
      <c r="O21" s="2">
        <v>8100</v>
      </c>
      <c r="P21" s="2"/>
      <c r="Q21" s="2"/>
      <c r="R21" s="2"/>
      <c r="S21" s="92"/>
    </row>
    <row r="22" spans="1:19" ht="12.75">
      <c r="A22" t="s">
        <v>59</v>
      </c>
      <c r="B22" s="4">
        <v>53.132</v>
      </c>
      <c r="C22" s="2"/>
      <c r="D22" s="2"/>
      <c r="E22" s="2"/>
      <c r="F22" s="2"/>
      <c r="G22" s="2"/>
      <c r="H22" s="2"/>
      <c r="I22" s="2"/>
      <c r="J22" s="2"/>
      <c r="K22" s="2"/>
      <c r="L22" s="2">
        <v>35</v>
      </c>
      <c r="N22" s="2"/>
      <c r="O22" s="2"/>
      <c r="P22" s="2"/>
      <c r="Q22" s="2"/>
      <c r="R22" s="2"/>
      <c r="S22" s="92"/>
    </row>
    <row r="23" spans="1:19" ht="12.75">
      <c r="A23" t="s">
        <v>289</v>
      </c>
      <c r="B23" s="4">
        <v>53.1322</v>
      </c>
      <c r="C23" s="2">
        <v>22224</v>
      </c>
      <c r="D23" s="2">
        <v>21899</v>
      </c>
      <c r="E23" s="2">
        <v>22910</v>
      </c>
      <c r="F23" s="2">
        <v>19357</v>
      </c>
      <c r="G23" s="2">
        <v>20274</v>
      </c>
      <c r="H23" s="2">
        <v>21921</v>
      </c>
      <c r="I23" s="2">
        <v>21590</v>
      </c>
      <c r="J23" s="2">
        <v>18172</v>
      </c>
      <c r="K23" s="2">
        <f>18948+78</f>
        <v>19026</v>
      </c>
      <c r="L23" s="2">
        <f>18232+859</f>
        <v>19091</v>
      </c>
      <c r="M23" s="2">
        <v>13264</v>
      </c>
      <c r="N23" s="2">
        <f aca="true" t="shared" si="0" ref="N23:N31">+M23/$M$3*12</f>
        <v>15916.800000000001</v>
      </c>
      <c r="O23" s="2">
        <v>12300</v>
      </c>
      <c r="P23" s="2"/>
      <c r="Q23" s="2"/>
      <c r="R23" s="2"/>
      <c r="S23" s="92">
        <f>(R23-O23)/O23</f>
        <v>-1</v>
      </c>
    </row>
    <row r="24" spans="1:19" ht="12.75">
      <c r="A24" t="s">
        <v>290</v>
      </c>
      <c r="B24" s="4">
        <v>53.1701</v>
      </c>
      <c r="C24" s="2">
        <v>848</v>
      </c>
      <c r="D24" s="2">
        <v>852</v>
      </c>
      <c r="E24" s="2">
        <v>760</v>
      </c>
      <c r="F24" s="2">
        <v>802</v>
      </c>
      <c r="G24" s="2">
        <v>859</v>
      </c>
      <c r="H24" s="2">
        <v>918</v>
      </c>
      <c r="I24" s="2">
        <v>1187</v>
      </c>
      <c r="J24" s="2">
        <v>1209</v>
      </c>
      <c r="K24" s="2">
        <v>1349</v>
      </c>
      <c r="L24" s="2">
        <v>1371</v>
      </c>
      <c r="M24" s="2">
        <v>1084</v>
      </c>
      <c r="N24" s="2">
        <f t="shared" si="0"/>
        <v>1300.8000000000002</v>
      </c>
      <c r="O24" s="2">
        <v>1100</v>
      </c>
      <c r="P24" s="2"/>
      <c r="Q24" s="2"/>
      <c r="R24" s="2"/>
      <c r="S24" s="92">
        <f>(R24-O24)/O24</f>
        <v>-1</v>
      </c>
    </row>
    <row r="25" spans="1:19" ht="12.75">
      <c r="A25" t="s">
        <v>272</v>
      </c>
      <c r="B25" s="4">
        <v>53.1702</v>
      </c>
      <c r="C25" s="2">
        <v>221</v>
      </c>
      <c r="D25" s="2">
        <v>37</v>
      </c>
      <c r="E25" s="2">
        <v>170</v>
      </c>
      <c r="F25" s="2">
        <v>241</v>
      </c>
      <c r="G25" s="2">
        <v>32</v>
      </c>
      <c r="H25" s="2">
        <v>87</v>
      </c>
      <c r="I25" s="2">
        <v>34</v>
      </c>
      <c r="J25" s="2">
        <v>45</v>
      </c>
      <c r="K25" s="2"/>
      <c r="L25" s="2">
        <v>25</v>
      </c>
      <c r="M25" s="2">
        <v>0</v>
      </c>
      <c r="N25" s="2">
        <f t="shared" si="0"/>
        <v>0</v>
      </c>
      <c r="O25" s="2">
        <v>50</v>
      </c>
      <c r="P25" s="2"/>
      <c r="Q25" s="2"/>
      <c r="R25" s="2"/>
      <c r="S25" s="92">
        <f>(R25-O25)/O25</f>
        <v>-1</v>
      </c>
    </row>
    <row r="26" spans="1:20" ht="12.75">
      <c r="A26" t="s">
        <v>291</v>
      </c>
      <c r="B26" s="4">
        <v>53.1704</v>
      </c>
      <c r="C26" s="2">
        <v>891</v>
      </c>
      <c r="D26" s="2">
        <v>440</v>
      </c>
      <c r="E26" s="2">
        <v>125</v>
      </c>
      <c r="F26" s="2">
        <v>558</v>
      </c>
      <c r="G26" s="2"/>
      <c r="H26" s="2">
        <v>73</v>
      </c>
      <c r="I26" s="2">
        <v>400</v>
      </c>
      <c r="J26" s="2">
        <v>400</v>
      </c>
      <c r="K26" s="2">
        <f>243+115</f>
        <v>358</v>
      </c>
      <c r="L26" s="2"/>
      <c r="M26" s="2">
        <v>0</v>
      </c>
      <c r="N26" s="2">
        <f t="shared" si="0"/>
        <v>0</v>
      </c>
      <c r="O26" s="2">
        <v>400</v>
      </c>
      <c r="P26" s="2"/>
      <c r="Q26" s="2"/>
      <c r="R26" s="2"/>
      <c r="S26" s="92">
        <f>(R26-O26)/O26</f>
        <v>-1</v>
      </c>
      <c r="T26" s="2" t="s">
        <v>514</v>
      </c>
    </row>
    <row r="27" spans="1:19" ht="12.75">
      <c r="A27" t="s">
        <v>265</v>
      </c>
      <c r="B27" s="4">
        <v>53.171</v>
      </c>
      <c r="C27" s="2">
        <v>79</v>
      </c>
      <c r="D27" s="2">
        <v>148</v>
      </c>
      <c r="E27" s="2">
        <v>163</v>
      </c>
      <c r="F27" s="2">
        <v>172</v>
      </c>
      <c r="G27" s="2">
        <v>617</v>
      </c>
      <c r="H27" s="2">
        <v>151</v>
      </c>
      <c r="I27" s="2">
        <v>247</v>
      </c>
      <c r="J27" s="2">
        <v>133</v>
      </c>
      <c r="K27" s="2">
        <v>149</v>
      </c>
      <c r="L27" s="2">
        <v>93</v>
      </c>
      <c r="M27" s="2">
        <v>177</v>
      </c>
      <c r="N27" s="2">
        <f t="shared" si="0"/>
        <v>212.39999999999998</v>
      </c>
      <c r="O27" s="2">
        <v>300</v>
      </c>
      <c r="P27" s="2"/>
      <c r="Q27" s="2"/>
      <c r="R27" s="2"/>
      <c r="S27" s="92">
        <f>(R27-O27)/O27</f>
        <v>-1</v>
      </c>
    </row>
    <row r="28" spans="1:19" ht="12.75">
      <c r="A28" t="s">
        <v>281</v>
      </c>
      <c r="B28" s="4">
        <v>53.172</v>
      </c>
      <c r="C28" s="2">
        <v>876</v>
      </c>
      <c r="D28" s="2">
        <v>369</v>
      </c>
      <c r="E28" s="2">
        <v>2192</v>
      </c>
      <c r="F28" s="2">
        <v>692</v>
      </c>
      <c r="G28" s="2">
        <v>113</v>
      </c>
      <c r="H28" s="2">
        <v>96</v>
      </c>
      <c r="I28" s="2">
        <v>539</v>
      </c>
      <c r="J28" s="2">
        <v>419</v>
      </c>
      <c r="K28" s="2"/>
      <c r="L28" s="2">
        <v>201</v>
      </c>
      <c r="M28" s="2"/>
      <c r="N28" s="2">
        <f t="shared" si="0"/>
        <v>0</v>
      </c>
      <c r="O28" s="2"/>
      <c r="P28" s="2"/>
      <c r="Q28" s="2"/>
      <c r="R28" s="2"/>
      <c r="S28" s="92"/>
    </row>
    <row r="29" spans="1:19" ht="12.75">
      <c r="A29" t="s">
        <v>973</v>
      </c>
      <c r="B29" s="4">
        <v>53.175</v>
      </c>
      <c r="C29" s="2"/>
      <c r="D29" s="2"/>
      <c r="E29" s="2"/>
      <c r="F29" s="2"/>
      <c r="G29" s="2"/>
      <c r="H29" s="2"/>
      <c r="I29" s="2"/>
      <c r="J29" s="2"/>
      <c r="K29" s="2"/>
      <c r="L29" s="2">
        <v>11</v>
      </c>
      <c r="M29" s="2"/>
      <c r="N29" s="2">
        <f t="shared" si="0"/>
        <v>0</v>
      </c>
      <c r="O29" s="2"/>
      <c r="P29" s="2"/>
      <c r="Q29" s="2"/>
      <c r="R29" s="2"/>
      <c r="S29" s="52"/>
    </row>
    <row r="30" spans="1:19" ht="12.75">
      <c r="A30" t="s">
        <v>974</v>
      </c>
      <c r="B30" s="4">
        <v>53.176</v>
      </c>
      <c r="C30" s="2"/>
      <c r="D30" s="2"/>
      <c r="E30" s="2"/>
      <c r="F30" s="2"/>
      <c r="G30" s="2"/>
      <c r="H30" s="2"/>
      <c r="I30" s="2"/>
      <c r="J30" s="2"/>
      <c r="K30" s="2"/>
      <c r="L30" s="2">
        <v>14</v>
      </c>
      <c r="M30" s="2"/>
      <c r="N30" s="2">
        <f t="shared" si="0"/>
        <v>0</v>
      </c>
      <c r="O30" s="2"/>
      <c r="P30" s="2"/>
      <c r="Q30" s="2"/>
      <c r="R30" s="2"/>
      <c r="S30" s="52"/>
    </row>
    <row r="31" spans="1:19" ht="12.75">
      <c r="A31" t="s">
        <v>975</v>
      </c>
      <c r="B31" s="4">
        <v>53.179</v>
      </c>
      <c r="C31" s="2"/>
      <c r="D31" s="2"/>
      <c r="E31" s="2"/>
      <c r="F31" s="2"/>
      <c r="G31" s="2"/>
      <c r="H31" s="2"/>
      <c r="I31" s="2"/>
      <c r="J31" s="2"/>
      <c r="K31" s="2"/>
      <c r="L31" s="2">
        <v>444</v>
      </c>
      <c r="M31" s="2"/>
      <c r="N31" s="2">
        <f t="shared" si="0"/>
        <v>0</v>
      </c>
      <c r="O31" s="2"/>
      <c r="P31" s="2"/>
      <c r="Q31" s="2"/>
      <c r="R31" s="2"/>
      <c r="S31" s="52"/>
    </row>
    <row r="32" spans="2:19" ht="12.75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144000</v>
      </c>
      <c r="Q32" s="2">
        <v>144000</v>
      </c>
      <c r="R32" s="2">
        <v>144000</v>
      </c>
      <c r="S32" s="52"/>
    </row>
    <row r="33" spans="1:19" ht="12.75">
      <c r="A33" t="s">
        <v>665</v>
      </c>
      <c r="B33" s="4"/>
      <c r="C33" s="2"/>
      <c r="D33" s="2"/>
      <c r="E33" s="2">
        <v>1098</v>
      </c>
      <c r="F33" s="2"/>
      <c r="G33" s="2"/>
      <c r="H33" s="2"/>
      <c r="I33" s="2">
        <v>298</v>
      </c>
      <c r="J33" s="2"/>
      <c r="K33" s="2"/>
      <c r="L33" s="2"/>
      <c r="M33" s="2"/>
      <c r="N33" s="2"/>
      <c r="O33" s="2"/>
      <c r="P33" s="2"/>
      <c r="Q33" s="2"/>
      <c r="R33" s="2"/>
      <c r="S33" s="92"/>
    </row>
    <row r="34" spans="1:19" ht="12.75">
      <c r="A34" t="s">
        <v>666</v>
      </c>
      <c r="B34" s="4"/>
      <c r="C34" s="2"/>
      <c r="D34" s="2"/>
      <c r="E34" s="2"/>
      <c r="F34" s="2"/>
      <c r="G34" s="2"/>
      <c r="H34" s="2"/>
      <c r="I34" s="2">
        <v>1191</v>
      </c>
      <c r="J34" s="2"/>
      <c r="K34" s="2"/>
      <c r="L34" s="2"/>
      <c r="M34" s="2"/>
      <c r="N34" s="2"/>
      <c r="O34" s="2"/>
      <c r="P34" s="2"/>
      <c r="Q34" s="2"/>
      <c r="R34" s="2"/>
      <c r="S34" s="52"/>
    </row>
    <row r="35" spans="1:19" ht="12.75">
      <c r="A35" s="6" t="s">
        <v>116</v>
      </c>
      <c r="B35" s="12"/>
      <c r="C35" s="8">
        <f>SUM(C7:C33)</f>
        <v>73829</v>
      </c>
      <c r="D35" s="8">
        <f>SUM(D7:D33)</f>
        <v>78197</v>
      </c>
      <c r="E35" s="8">
        <f>SUM(E7:E34)</f>
        <v>85594</v>
      </c>
      <c r="F35" s="8">
        <f>SUM(F7:F34)</f>
        <v>81402</v>
      </c>
      <c r="G35" s="8">
        <f>SUM(G7:G34)</f>
        <v>83949</v>
      </c>
      <c r="H35" s="8">
        <f>SUM(H7:H34)</f>
        <v>86076</v>
      </c>
      <c r="I35" s="8">
        <f>SUM(I7:I34)</f>
        <v>91114</v>
      </c>
      <c r="J35" s="8">
        <v>89406</v>
      </c>
      <c r="K35" s="8">
        <f aca="true" t="shared" si="1" ref="K35:R35">SUM(K7:K34)</f>
        <v>96664</v>
      </c>
      <c r="L35" s="8">
        <v>94284</v>
      </c>
      <c r="M35" s="8">
        <f t="shared" si="1"/>
        <v>66264.3</v>
      </c>
      <c r="N35" s="8">
        <f t="shared" si="1"/>
        <v>79487.15999999999</v>
      </c>
      <c r="O35" s="8">
        <f t="shared" si="1"/>
        <v>92179.73851875</v>
      </c>
      <c r="P35" s="8">
        <f t="shared" si="1"/>
        <v>144000</v>
      </c>
      <c r="Q35" s="8">
        <f t="shared" si="1"/>
        <v>144000</v>
      </c>
      <c r="R35" s="8">
        <f t="shared" si="1"/>
        <v>144000</v>
      </c>
      <c r="S35" s="53">
        <f>(R35-O35)/O35</f>
        <v>0.5621654206657289</v>
      </c>
    </row>
    <row r="36" spans="3:19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2"/>
    </row>
    <row r="37" spans="3:1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2" t="s">
        <v>488</v>
      </c>
      <c r="P37" s="22"/>
      <c r="Q37" s="56">
        <f>P35-Q35</f>
        <v>0</v>
      </c>
      <c r="R37" s="2"/>
      <c r="S37" s="52"/>
    </row>
    <row r="38" spans="1:19" ht="12.75">
      <c r="A38" s="6" t="s">
        <v>1063</v>
      </c>
      <c r="O38" s="22" t="s">
        <v>761</v>
      </c>
      <c r="P38" s="22"/>
      <c r="Q38" s="56">
        <f>O35-Q35</f>
        <v>-51820.261481249996</v>
      </c>
      <c r="S38" s="52"/>
    </row>
    <row r="39" spans="15:19" ht="12.75">
      <c r="O39" s="22" t="s">
        <v>436</v>
      </c>
      <c r="P39" s="22"/>
      <c r="Q39" s="56">
        <f>Q35-R35</f>
        <v>0</v>
      </c>
      <c r="S39" s="52"/>
    </row>
    <row r="40" spans="1:19" ht="12.75">
      <c r="A40" s="175" t="s">
        <v>1020</v>
      </c>
      <c r="S40" s="52"/>
    </row>
    <row r="41" spans="1:19" ht="12.75">
      <c r="A41" s="175" t="s">
        <v>88</v>
      </c>
      <c r="S41" s="52"/>
    </row>
    <row r="42" spans="1:19" ht="12.75">
      <c r="A42" t="s">
        <v>596</v>
      </c>
      <c r="S42" s="52"/>
    </row>
    <row r="43" spans="1:19" ht="12.75">
      <c r="A43" t="s">
        <v>86</v>
      </c>
      <c r="O43" s="4"/>
      <c r="P43" s="168"/>
      <c r="S43" s="52"/>
    </row>
    <row r="44" spans="1:19" ht="12.75">
      <c r="A44" t="s">
        <v>42</v>
      </c>
      <c r="O44" s="4"/>
      <c r="P44" s="168"/>
      <c r="S44" s="52"/>
    </row>
    <row r="45" spans="1:19" ht="12.75">
      <c r="A45" t="s">
        <v>43</v>
      </c>
      <c r="S45" s="52"/>
    </row>
    <row r="46" ht="12.75">
      <c r="S46" s="52"/>
    </row>
    <row r="47" spans="1:19" s="22" customFormat="1" ht="12.75">
      <c r="A47" s="41" t="s">
        <v>134</v>
      </c>
      <c r="B47" s="42">
        <v>38.902</v>
      </c>
      <c r="C47" s="43">
        <v>14069</v>
      </c>
      <c r="D47" s="43">
        <v>12162</v>
      </c>
      <c r="E47" s="43">
        <v>8500</v>
      </c>
      <c r="F47" s="43"/>
      <c r="G47" s="43"/>
      <c r="H47" s="43"/>
      <c r="I47" s="43">
        <v>9293</v>
      </c>
      <c r="J47" s="43">
        <v>7687</v>
      </c>
      <c r="K47" s="43">
        <v>9064</v>
      </c>
      <c r="L47" s="43">
        <v>8803</v>
      </c>
      <c r="M47" s="184">
        <f>L47/L35</f>
        <v>0.09336684909422596</v>
      </c>
      <c r="N47" s="31"/>
      <c r="O47" s="43"/>
      <c r="Q47" s="43"/>
      <c r="R47" s="101"/>
      <c r="S47" s="43"/>
    </row>
    <row r="48" spans="1:19" s="22" customFormat="1" ht="12.75">
      <c r="A48" s="41" t="s">
        <v>335</v>
      </c>
      <c r="B48" s="42">
        <v>37.113</v>
      </c>
      <c r="C48" s="43">
        <v>1000</v>
      </c>
      <c r="D48" s="43">
        <v>5307</v>
      </c>
      <c r="E48" s="43">
        <v>700</v>
      </c>
      <c r="F48" s="43"/>
      <c r="G48" s="43"/>
      <c r="H48" s="43"/>
      <c r="I48" s="43"/>
      <c r="J48" s="43">
        <v>502</v>
      </c>
      <c r="K48" s="43">
        <v>1050</v>
      </c>
      <c r="L48" s="43">
        <v>1702</v>
      </c>
      <c r="M48" s="184">
        <f>L48/L35</f>
        <v>0.018051843366849094</v>
      </c>
      <c r="N48" s="31"/>
      <c r="P48" s="43"/>
      <c r="Q48" s="43"/>
      <c r="R48" s="101"/>
      <c r="S48" s="43"/>
    </row>
    <row r="49" ht="12.75">
      <c r="S49" s="52"/>
    </row>
    <row r="50" ht="12.75">
      <c r="S50" s="52"/>
    </row>
    <row r="51" ht="12.75">
      <c r="A51" t="s">
        <v>31</v>
      </c>
    </row>
    <row r="53" ht="12.75">
      <c r="N53" s="2"/>
    </row>
    <row r="54" ht="12.75">
      <c r="N54" s="2"/>
    </row>
    <row r="55" ht="12.75">
      <c r="N55" s="2"/>
    </row>
    <row r="56" spans="14:15" ht="12.75">
      <c r="N56" s="2"/>
      <c r="O56" s="5"/>
    </row>
    <row r="57" spans="14:15" ht="12.75">
      <c r="N57" s="2"/>
      <c r="O57" s="5"/>
    </row>
    <row r="58" spans="14:15" ht="12.75">
      <c r="N58" s="2"/>
      <c r="O58" s="5"/>
    </row>
    <row r="59" spans="14:15" ht="12.75">
      <c r="N59" s="2"/>
      <c r="O59" s="5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2.75">
      <c r="N64" s="2"/>
    </row>
    <row r="65" ht="12.75">
      <c r="N65" s="2"/>
    </row>
    <row r="66" ht="12.75">
      <c r="N66" s="2"/>
    </row>
    <row r="67" ht="12.75">
      <c r="O67" s="5"/>
    </row>
    <row r="68" ht="12.75">
      <c r="O68" s="5"/>
    </row>
    <row r="69" ht="12.75">
      <c r="O69" s="5"/>
    </row>
    <row r="72" ht="12.75">
      <c r="S72" s="2"/>
    </row>
    <row r="73" spans="15:19" ht="12.75">
      <c r="O73" s="5"/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V82"/>
  <sheetViews>
    <sheetView zoomScale="75" zoomScaleNormal="75" workbookViewId="0" topLeftCell="A1">
      <selection activeCell="A38" sqref="A3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9" width="11.7109375" style="0" hidden="1" customWidth="1"/>
    <col min="10" max="12" width="11.7109375" style="0" customWidth="1"/>
    <col min="13" max="13" width="13.28125" style="0" bestFit="1" customWidth="1"/>
    <col min="14" max="14" width="11.28125" style="0" customWidth="1"/>
    <col min="15" max="16" width="11.7109375" style="0" customWidth="1"/>
    <col min="17" max="17" width="10.7109375" style="0" bestFit="1" customWidth="1"/>
    <col min="18" max="18" width="9.57421875" style="0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spans="1:12" ht="12.75">
      <c r="A2" t="s">
        <v>107</v>
      </c>
      <c r="K2" s="170"/>
      <c r="L2" s="170"/>
    </row>
    <row r="3" spans="1:19" ht="12.75">
      <c r="A3" s="6" t="s">
        <v>505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3.5" thickBot="1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2" ht="14.25" thickBot="1" thickTop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  <c r="V6" s="177"/>
    </row>
    <row r="7" spans="1:19" ht="12.75">
      <c r="A7" t="s">
        <v>686</v>
      </c>
      <c r="B7" s="4">
        <v>51.11</v>
      </c>
      <c r="C7" s="2">
        <v>32307</v>
      </c>
      <c r="D7" s="2">
        <v>32522</v>
      </c>
      <c r="E7" s="2">
        <v>35230</v>
      </c>
      <c r="F7" s="2">
        <v>38668</v>
      </c>
      <c r="G7" s="2">
        <v>38134</v>
      </c>
      <c r="H7" s="2">
        <v>41311</v>
      </c>
      <c r="I7" s="2">
        <v>41014</v>
      </c>
      <c r="J7" s="2">
        <v>42361</v>
      </c>
      <c r="K7" s="2">
        <v>44150</v>
      </c>
      <c r="L7" s="2">
        <v>46013.92</v>
      </c>
      <c r="M7" s="2">
        <v>38971</v>
      </c>
      <c r="N7" s="2">
        <f aca="true" t="shared" si="0" ref="N7:N32">+M7/$M$3*12</f>
        <v>46765.2</v>
      </c>
      <c r="O7" s="2">
        <v>47573.98099999999</v>
      </c>
      <c r="P7" s="2"/>
      <c r="Q7" s="2"/>
      <c r="R7" s="2"/>
      <c r="S7" s="92">
        <f>(R7-O7)/O7</f>
        <v>-1</v>
      </c>
    </row>
    <row r="8" spans="1:20" ht="12.75">
      <c r="A8" t="s">
        <v>762</v>
      </c>
      <c r="B8" s="4"/>
      <c r="C8" s="2"/>
      <c r="D8" s="2"/>
      <c r="E8" s="2"/>
      <c r="F8" s="2"/>
      <c r="G8" s="2"/>
      <c r="H8" s="2"/>
      <c r="I8" s="2"/>
      <c r="J8" s="2"/>
      <c r="K8" s="2">
        <v>396</v>
      </c>
      <c r="L8" s="2">
        <v>731</v>
      </c>
      <c r="M8" s="2">
        <v>587</v>
      </c>
      <c r="N8" s="2">
        <f t="shared" si="0"/>
        <v>704.4000000000001</v>
      </c>
      <c r="O8" s="2">
        <v>731</v>
      </c>
      <c r="P8" s="2"/>
      <c r="Q8" s="2"/>
      <c r="R8" s="2"/>
      <c r="S8" s="92"/>
      <c r="T8" t="s">
        <v>376</v>
      </c>
    </row>
    <row r="9" spans="1:20" ht="12.75">
      <c r="A9" t="s">
        <v>763</v>
      </c>
      <c r="B9" s="4"/>
      <c r="C9" s="2"/>
      <c r="D9" s="2"/>
      <c r="E9" s="2"/>
      <c r="F9" s="2"/>
      <c r="G9" s="2"/>
      <c r="H9" s="2"/>
      <c r="I9" s="2"/>
      <c r="J9" s="2"/>
      <c r="K9" s="2">
        <v>790</v>
      </c>
      <c r="L9" s="2">
        <v>1458</v>
      </c>
      <c r="M9" s="2">
        <v>1171</v>
      </c>
      <c r="N9" s="2">
        <f t="shared" si="0"/>
        <v>1405.1999999999998</v>
      </c>
      <c r="O9" s="2">
        <v>1581</v>
      </c>
      <c r="P9" s="2"/>
      <c r="Q9" s="2"/>
      <c r="R9" s="2"/>
      <c r="S9" s="92"/>
      <c r="T9" t="s">
        <v>376</v>
      </c>
    </row>
    <row r="10" spans="1:20" ht="12.75">
      <c r="A10" t="s">
        <v>494</v>
      </c>
      <c r="B10" s="4">
        <v>51.21</v>
      </c>
      <c r="C10" s="2">
        <v>4375</v>
      </c>
      <c r="D10" s="2">
        <v>5036</v>
      </c>
      <c r="E10" s="2">
        <v>6373</v>
      </c>
      <c r="F10" s="2">
        <v>5679</v>
      </c>
      <c r="G10" s="2">
        <v>6045</v>
      </c>
      <c r="H10" s="2">
        <v>6322</v>
      </c>
      <c r="I10" s="2">
        <v>6368</v>
      </c>
      <c r="J10" s="2">
        <v>6797</v>
      </c>
      <c r="K10" s="2">
        <v>8022</v>
      </c>
      <c r="L10" s="2">
        <v>8662</v>
      </c>
      <c r="M10" s="2">
        <v>7579</v>
      </c>
      <c r="N10" s="2">
        <f t="shared" si="0"/>
        <v>9094.8</v>
      </c>
      <c r="O10" s="31">
        <v>9600</v>
      </c>
      <c r="P10" s="31"/>
      <c r="Q10" s="31"/>
      <c r="R10" s="31"/>
      <c r="S10" s="92">
        <f>(R10-O10)/O10</f>
        <v>-1</v>
      </c>
      <c r="T10" t="s">
        <v>825</v>
      </c>
    </row>
    <row r="11" spans="1:19" ht="12.75">
      <c r="A11" t="s">
        <v>139</v>
      </c>
      <c r="B11" s="4">
        <v>51.22</v>
      </c>
      <c r="C11" s="2">
        <v>2471</v>
      </c>
      <c r="D11" s="2">
        <v>2487</v>
      </c>
      <c r="E11" s="2">
        <v>2712</v>
      </c>
      <c r="F11" s="2">
        <v>2958</v>
      </c>
      <c r="G11" s="2">
        <v>2919</v>
      </c>
      <c r="H11" s="2">
        <v>3160</v>
      </c>
      <c r="I11" s="2">
        <v>3111</v>
      </c>
      <c r="J11" s="2">
        <v>3213</v>
      </c>
      <c r="K11" s="2">
        <v>3357</v>
      </c>
      <c r="L11" s="2">
        <v>3502.61</v>
      </c>
      <c r="M11" s="2">
        <v>2963</v>
      </c>
      <c r="N11" s="2">
        <f t="shared" si="0"/>
        <v>3555.6000000000004</v>
      </c>
      <c r="O11" s="2">
        <v>3816.2775464999995</v>
      </c>
      <c r="P11" s="2"/>
      <c r="Q11" s="2"/>
      <c r="R11" s="2"/>
      <c r="S11" s="92">
        <f>(R11-O11)/O11</f>
        <v>-1</v>
      </c>
    </row>
    <row r="12" spans="1:19" ht="12.75">
      <c r="A12" t="s">
        <v>153</v>
      </c>
      <c r="B12" s="4">
        <v>51.24</v>
      </c>
      <c r="C12" s="2">
        <v>638</v>
      </c>
      <c r="D12" s="2">
        <v>690</v>
      </c>
      <c r="E12" s="2">
        <v>861</v>
      </c>
      <c r="F12" s="2">
        <v>908</v>
      </c>
      <c r="G12" s="2">
        <v>941</v>
      </c>
      <c r="H12" s="2">
        <v>918</v>
      </c>
      <c r="I12" s="2">
        <v>706</v>
      </c>
      <c r="J12" s="2">
        <v>832</v>
      </c>
      <c r="K12" s="2">
        <v>1037</v>
      </c>
      <c r="L12" s="2">
        <v>1067</v>
      </c>
      <c r="M12" s="2">
        <v>368.36</v>
      </c>
      <c r="N12" s="2">
        <f t="shared" si="0"/>
        <v>442.032</v>
      </c>
      <c r="O12" s="2">
        <v>1100</v>
      </c>
      <c r="P12" s="2"/>
      <c r="Q12" s="2"/>
      <c r="R12" s="2"/>
      <c r="S12" s="92">
        <f>(R12-O12)/O12</f>
        <v>-1</v>
      </c>
    </row>
    <row r="13" spans="2:19" ht="12.75">
      <c r="B13" s="4"/>
      <c r="C13" s="2"/>
      <c r="D13" s="2"/>
      <c r="E13" s="2"/>
      <c r="F13" s="2"/>
      <c r="G13" s="2"/>
      <c r="H13" s="2"/>
      <c r="I13" s="2">
        <v>136</v>
      </c>
      <c r="J13" s="2"/>
      <c r="K13" s="2"/>
      <c r="L13" s="2"/>
      <c r="M13" s="2"/>
      <c r="N13" s="2"/>
      <c r="O13" s="2"/>
      <c r="P13" s="2"/>
      <c r="Q13" s="2"/>
      <c r="R13" s="2"/>
      <c r="S13" s="92"/>
    </row>
    <row r="14" spans="1:20" ht="12.75">
      <c r="A14" t="s">
        <v>764</v>
      </c>
      <c r="B14" s="4"/>
      <c r="C14" s="2"/>
      <c r="D14" s="2"/>
      <c r="E14" s="2"/>
      <c r="F14" s="2"/>
      <c r="G14" s="2"/>
      <c r="H14" s="2"/>
      <c r="I14" s="2"/>
      <c r="J14" s="2"/>
      <c r="K14" s="2">
        <v>936</v>
      </c>
      <c r="L14" s="2"/>
      <c r="M14" s="2">
        <v>725</v>
      </c>
      <c r="N14" s="2">
        <v>725</v>
      </c>
      <c r="O14" s="2">
        <v>0</v>
      </c>
      <c r="P14" s="2"/>
      <c r="Q14" s="2"/>
      <c r="R14" s="2"/>
      <c r="S14" s="92"/>
      <c r="T14" t="s">
        <v>376</v>
      </c>
    </row>
    <row r="16" spans="1:19" ht="12.75">
      <c r="A16" t="s">
        <v>293</v>
      </c>
      <c r="B16" s="4">
        <v>52.126</v>
      </c>
      <c r="C16" s="2">
        <v>80</v>
      </c>
      <c r="D16" s="2" t="s">
        <v>127</v>
      </c>
      <c r="E16" s="2">
        <v>50</v>
      </c>
      <c r="F16" s="2"/>
      <c r="G16" s="2"/>
      <c r="H16" s="2"/>
      <c r="I16" s="2">
        <v>100</v>
      </c>
      <c r="J16" s="2"/>
      <c r="K16" s="2"/>
      <c r="L16" s="2">
        <v>35</v>
      </c>
      <c r="M16" s="2"/>
      <c r="N16" s="2">
        <v>100</v>
      </c>
      <c r="O16" s="2">
        <v>100</v>
      </c>
      <c r="P16" s="2"/>
      <c r="Q16" s="2"/>
      <c r="R16" s="2"/>
      <c r="S16" s="92"/>
    </row>
    <row r="17" spans="1:19" ht="12.75">
      <c r="A17" t="s">
        <v>268</v>
      </c>
      <c r="B17" s="4">
        <v>52.2206</v>
      </c>
      <c r="C17" s="2">
        <v>172</v>
      </c>
      <c r="D17" s="2">
        <v>785</v>
      </c>
      <c r="E17" s="2"/>
      <c r="F17" s="2">
        <v>6</v>
      </c>
      <c r="G17" s="2">
        <v>41</v>
      </c>
      <c r="H17" s="2">
        <v>6</v>
      </c>
      <c r="I17" s="2">
        <v>366</v>
      </c>
      <c r="J17" s="2">
        <v>45</v>
      </c>
      <c r="K17" s="2"/>
      <c r="L17" s="2">
        <v>95</v>
      </c>
      <c r="M17" s="2">
        <v>235.6</v>
      </c>
      <c r="N17" s="2">
        <v>400</v>
      </c>
      <c r="O17" s="2">
        <v>400</v>
      </c>
      <c r="P17" s="2"/>
      <c r="Q17" s="2"/>
      <c r="R17" s="2"/>
      <c r="S17" s="92"/>
    </row>
    <row r="18" spans="1:19" ht="12.75" hidden="1">
      <c r="A18" t="s">
        <v>753</v>
      </c>
      <c r="B18" s="4">
        <v>52.2214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2"/>
    </row>
    <row r="19" spans="1:20" ht="12.75">
      <c r="A19" t="s">
        <v>766</v>
      </c>
      <c r="B19" s="4">
        <v>52.134</v>
      </c>
      <c r="C19" s="2"/>
      <c r="D19" s="2"/>
      <c r="E19" s="2"/>
      <c r="F19" s="2"/>
      <c r="G19" s="2"/>
      <c r="H19" s="2"/>
      <c r="I19" s="2"/>
      <c r="J19" s="2"/>
      <c r="K19" s="2">
        <v>4095</v>
      </c>
      <c r="L19" s="2"/>
      <c r="M19" s="2">
        <v>1663</v>
      </c>
      <c r="N19" s="2">
        <v>1700</v>
      </c>
      <c r="O19" s="2">
        <v>1509</v>
      </c>
      <c r="P19" s="2"/>
      <c r="Q19" s="2"/>
      <c r="R19" s="2"/>
      <c r="S19" s="92"/>
      <c r="T19" t="s">
        <v>376</v>
      </c>
    </row>
    <row r="20" spans="1:20" ht="12.75">
      <c r="A20" t="s">
        <v>141</v>
      </c>
      <c r="B20" s="4">
        <v>52.32</v>
      </c>
      <c r="C20" s="2">
        <v>617</v>
      </c>
      <c r="D20" s="2">
        <v>716</v>
      </c>
      <c r="E20" s="2">
        <v>747</v>
      </c>
      <c r="F20" s="2">
        <v>881</v>
      </c>
      <c r="G20" s="2">
        <v>900</v>
      </c>
      <c r="H20" s="2">
        <v>1001</v>
      </c>
      <c r="I20" s="2">
        <v>984</v>
      </c>
      <c r="J20" s="2">
        <v>770</v>
      </c>
      <c r="K20" s="2">
        <v>688</v>
      </c>
      <c r="L20" s="2">
        <v>335</v>
      </c>
      <c r="M20" s="2">
        <v>420</v>
      </c>
      <c r="N20" s="2">
        <f t="shared" si="0"/>
        <v>504</v>
      </c>
      <c r="O20" s="2">
        <v>300</v>
      </c>
      <c r="P20" s="2"/>
      <c r="Q20" s="2"/>
      <c r="R20" s="2"/>
      <c r="S20" s="92"/>
      <c r="T20" s="33"/>
    </row>
    <row r="21" spans="1:19" ht="12.75">
      <c r="A21" t="s">
        <v>163</v>
      </c>
      <c r="B21" s="4">
        <v>52.33</v>
      </c>
      <c r="C21" s="2">
        <v>20</v>
      </c>
      <c r="D21" s="2">
        <v>150</v>
      </c>
      <c r="E21" s="2"/>
      <c r="F21" s="2">
        <v>100</v>
      </c>
      <c r="G21" s="2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92"/>
    </row>
    <row r="22" spans="1:19" ht="12.75" hidden="1">
      <c r="A22" t="s">
        <v>143</v>
      </c>
      <c r="B22" s="4">
        <v>52.35</v>
      </c>
      <c r="C22" s="2">
        <v>44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  <c r="O22" s="2"/>
      <c r="P22" s="2"/>
      <c r="Q22" s="2"/>
      <c r="R22" s="2"/>
      <c r="S22" s="92"/>
    </row>
    <row r="23" spans="1:19" ht="12.75">
      <c r="A23" t="s">
        <v>142</v>
      </c>
      <c r="B23" s="4">
        <v>52.321</v>
      </c>
      <c r="K23">
        <v>41</v>
      </c>
      <c r="M23" s="2"/>
      <c r="N23" s="2"/>
      <c r="S23" s="92"/>
    </row>
    <row r="24" spans="1:20" ht="12.75">
      <c r="A24" t="s">
        <v>143</v>
      </c>
      <c r="B24" s="4">
        <v>52.35</v>
      </c>
      <c r="K24" s="2">
        <v>47</v>
      </c>
      <c r="L24" s="2">
        <v>309</v>
      </c>
      <c r="M24" s="2"/>
      <c r="N24" s="2"/>
      <c r="O24">
        <v>559</v>
      </c>
      <c r="P24" s="2"/>
      <c r="Q24" s="2"/>
      <c r="R24" s="2"/>
      <c r="S24" s="92"/>
      <c r="T24" t="s">
        <v>376</v>
      </c>
    </row>
    <row r="25" spans="2:19" ht="12.75">
      <c r="B25" s="4"/>
      <c r="K25" s="2"/>
      <c r="L25" s="2"/>
      <c r="M25" s="2"/>
      <c r="N25" s="2"/>
      <c r="S25" s="92"/>
    </row>
    <row r="26" spans="1:19" ht="12.75">
      <c r="A26" t="s">
        <v>265</v>
      </c>
      <c r="B26" s="4">
        <v>53.171</v>
      </c>
      <c r="C26" s="2">
        <v>31</v>
      </c>
      <c r="D26" s="2">
        <v>72</v>
      </c>
      <c r="E26" s="2">
        <v>8</v>
      </c>
      <c r="F26" s="2">
        <v>42</v>
      </c>
      <c r="G26" s="2">
        <v>19</v>
      </c>
      <c r="H26" s="2"/>
      <c r="I26" s="2">
        <v>19</v>
      </c>
      <c r="J26" s="2"/>
      <c r="K26" s="2">
        <v>16</v>
      </c>
      <c r="L26" s="2">
        <v>16</v>
      </c>
      <c r="M26" s="2">
        <v>10.24</v>
      </c>
      <c r="N26" s="2">
        <f t="shared" si="0"/>
        <v>12.288</v>
      </c>
      <c r="O26" s="2">
        <v>25</v>
      </c>
      <c r="P26" s="2"/>
      <c r="Q26" s="2"/>
      <c r="R26" s="2"/>
      <c r="S26" s="92">
        <f>(R26-O26)/O26</f>
        <v>-1</v>
      </c>
    </row>
    <row r="27" spans="1:19" ht="12.75">
      <c r="A27" t="s">
        <v>282</v>
      </c>
      <c r="B27" s="4">
        <v>53.175</v>
      </c>
      <c r="C27" s="2">
        <v>1374</v>
      </c>
      <c r="D27" s="2">
        <v>1736</v>
      </c>
      <c r="E27" s="2">
        <v>493</v>
      </c>
      <c r="F27" s="2">
        <v>811</v>
      </c>
      <c r="G27" s="2">
        <v>366</v>
      </c>
      <c r="H27" s="2">
        <v>273</v>
      </c>
      <c r="I27" s="2">
        <v>662</v>
      </c>
      <c r="J27" s="2">
        <v>144</v>
      </c>
      <c r="K27" s="2">
        <v>216</v>
      </c>
      <c r="L27" s="2">
        <v>176</v>
      </c>
      <c r="M27" s="11">
        <v>346</v>
      </c>
      <c r="N27" s="2">
        <f t="shared" si="0"/>
        <v>415.20000000000005</v>
      </c>
      <c r="O27" s="2">
        <v>400</v>
      </c>
      <c r="P27" s="2"/>
      <c r="Q27" s="2"/>
      <c r="R27" s="2"/>
      <c r="S27" s="92">
        <f>(R27-O27)/O27</f>
        <v>-1</v>
      </c>
    </row>
    <row r="28" spans="1:19" ht="12.75">
      <c r="A28" t="s">
        <v>277</v>
      </c>
      <c r="B28" s="4">
        <v>53.176</v>
      </c>
      <c r="C28" s="2">
        <v>87</v>
      </c>
      <c r="D28" s="2">
        <v>170</v>
      </c>
      <c r="E28" s="2">
        <v>108</v>
      </c>
      <c r="F28" s="2">
        <v>88</v>
      </c>
      <c r="G28" s="2">
        <v>69</v>
      </c>
      <c r="H28" s="2">
        <v>97</v>
      </c>
      <c r="I28" s="2">
        <v>94</v>
      </c>
      <c r="J28" s="2">
        <v>107</v>
      </c>
      <c r="K28" s="2">
        <v>83</v>
      </c>
      <c r="L28" s="2">
        <v>66</v>
      </c>
      <c r="M28" s="11">
        <v>74</v>
      </c>
      <c r="N28" s="2">
        <f t="shared" si="0"/>
        <v>88.80000000000001</v>
      </c>
      <c r="O28" s="2">
        <v>100</v>
      </c>
      <c r="P28" s="2"/>
      <c r="Q28" s="2"/>
      <c r="R28" s="2"/>
      <c r="S28" s="92">
        <f>(R28-O28)/O28</f>
        <v>-1</v>
      </c>
    </row>
    <row r="29" spans="1:19" ht="12.75">
      <c r="A29" t="s">
        <v>278</v>
      </c>
      <c r="B29" s="4">
        <v>53.177</v>
      </c>
      <c r="C29" s="2">
        <v>222</v>
      </c>
      <c r="D29" s="2">
        <v>494</v>
      </c>
      <c r="E29" s="2">
        <v>414</v>
      </c>
      <c r="F29" s="2">
        <v>618</v>
      </c>
      <c r="G29" s="2">
        <v>354</v>
      </c>
      <c r="H29" s="2">
        <v>364</v>
      </c>
      <c r="I29" s="2">
        <v>671</v>
      </c>
      <c r="J29" s="2">
        <v>367</v>
      </c>
      <c r="K29" s="2">
        <v>441</v>
      </c>
      <c r="L29" s="2">
        <v>907</v>
      </c>
      <c r="M29" s="11">
        <v>497</v>
      </c>
      <c r="N29" s="2">
        <f t="shared" si="0"/>
        <v>596.4000000000001</v>
      </c>
      <c r="O29" s="20">
        <v>500</v>
      </c>
      <c r="P29" s="2"/>
      <c r="Q29" s="20"/>
      <c r="R29" s="20"/>
      <c r="S29" s="92">
        <f>(R29-O29)/O29</f>
        <v>-1</v>
      </c>
    </row>
    <row r="30" spans="1:19" ht="12.75">
      <c r="A30" t="s">
        <v>191</v>
      </c>
      <c r="B30" s="4">
        <v>53.178</v>
      </c>
      <c r="C30" s="2">
        <v>163</v>
      </c>
      <c r="D30" s="2"/>
      <c r="E30" s="2">
        <v>62</v>
      </c>
      <c r="J30" s="2">
        <v>90</v>
      </c>
      <c r="K30" s="2">
        <v>186</v>
      </c>
      <c r="L30" s="2"/>
      <c r="M30" s="11"/>
      <c r="N30" s="2">
        <f t="shared" si="0"/>
        <v>0</v>
      </c>
      <c r="O30" s="20"/>
      <c r="P30" s="2"/>
      <c r="Q30" s="20"/>
      <c r="R30" s="20"/>
      <c r="S30" s="92"/>
    </row>
    <row r="31" spans="1:19" ht="12.75">
      <c r="A31" t="s">
        <v>179</v>
      </c>
      <c r="B31" s="4">
        <v>53.179</v>
      </c>
      <c r="C31" s="2">
        <v>2298</v>
      </c>
      <c r="D31" s="2">
        <v>3540</v>
      </c>
      <c r="E31" s="2">
        <v>3752</v>
      </c>
      <c r="F31" s="2">
        <v>2812</v>
      </c>
      <c r="G31" s="2">
        <v>3277</v>
      </c>
      <c r="H31" s="2">
        <v>4057</v>
      </c>
      <c r="I31" s="2">
        <v>5519</v>
      </c>
      <c r="J31" s="2">
        <v>6160</v>
      </c>
      <c r="K31" s="2">
        <v>5041</v>
      </c>
      <c r="L31" s="2">
        <v>6600</v>
      </c>
      <c r="M31" s="11">
        <v>3547</v>
      </c>
      <c r="N31" s="2">
        <f t="shared" si="0"/>
        <v>4256.4</v>
      </c>
      <c r="O31" s="20">
        <v>4900</v>
      </c>
      <c r="P31" s="2"/>
      <c r="Q31" s="20"/>
      <c r="R31" s="20"/>
      <c r="S31" s="92">
        <f>(R31-O31)/O31</f>
        <v>-1</v>
      </c>
    </row>
    <row r="32" spans="1:19" ht="12.75" hidden="1">
      <c r="A32" t="s">
        <v>339</v>
      </c>
      <c r="B32" s="4"/>
      <c r="C32" s="2"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0"/>
        <v>0</v>
      </c>
      <c r="O32" s="2"/>
      <c r="P32" s="2"/>
      <c r="Q32" s="2"/>
      <c r="R32" s="2"/>
      <c r="S32" s="92"/>
    </row>
    <row r="33" spans="2:19" ht="12.75"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2"/>
    </row>
    <row r="34" spans="1:20" ht="12.75">
      <c r="A34" t="s">
        <v>402</v>
      </c>
      <c r="B34" s="4"/>
      <c r="C34" s="2"/>
      <c r="D34" s="2"/>
      <c r="E34" s="2"/>
      <c r="F34" s="2"/>
      <c r="G34" s="2">
        <v>4200</v>
      </c>
      <c r="H34" s="2"/>
      <c r="I34" s="2">
        <v>2800</v>
      </c>
      <c r="J34" s="2"/>
      <c r="K34" s="2"/>
      <c r="L34" s="2"/>
      <c r="M34" s="2"/>
      <c r="N34" s="2"/>
      <c r="O34" s="2"/>
      <c r="P34" s="2"/>
      <c r="Q34" s="2"/>
      <c r="R34" s="2"/>
      <c r="S34" s="92"/>
      <c r="T34" t="s">
        <v>514</v>
      </c>
    </row>
    <row r="35" spans="2:19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2"/>
    </row>
    <row r="36" spans="1:19" ht="12.75">
      <c r="A36" s="6" t="s">
        <v>116</v>
      </c>
      <c r="B36" s="6"/>
      <c r="C36" s="8">
        <f>SUM(C7:C32)</f>
        <v>44907</v>
      </c>
      <c r="D36" s="8">
        <f>SUM(D7:D32)</f>
        <v>48398</v>
      </c>
      <c r="E36" s="8">
        <f>SUM(E7:E33)</f>
        <v>50810</v>
      </c>
      <c r="F36" s="8">
        <f>SUM(F7:F35)</f>
        <v>53571</v>
      </c>
      <c r="G36" s="8">
        <f>SUM(G7:G35)</f>
        <v>57267</v>
      </c>
      <c r="H36" s="8">
        <f>SUM(H7:H35)</f>
        <v>57509</v>
      </c>
      <c r="I36" s="8">
        <f>SUM(I7:I35)</f>
        <v>62550</v>
      </c>
      <c r="J36" s="8">
        <v>60911</v>
      </c>
      <c r="K36" s="8">
        <f aca="true" t="shared" si="1" ref="K36:R36">SUM(K7:K35)</f>
        <v>69542</v>
      </c>
      <c r="L36" s="8">
        <v>69973</v>
      </c>
      <c r="M36" s="8">
        <f t="shared" si="1"/>
        <v>59157.2</v>
      </c>
      <c r="N36" s="8">
        <f t="shared" si="1"/>
        <v>70765.31999999998</v>
      </c>
      <c r="O36" s="8">
        <f t="shared" si="1"/>
        <v>73195.2585465</v>
      </c>
      <c r="P36" s="8">
        <f t="shared" si="1"/>
        <v>0</v>
      </c>
      <c r="Q36" s="8">
        <f t="shared" si="1"/>
        <v>0</v>
      </c>
      <c r="R36" s="8">
        <f t="shared" si="1"/>
        <v>0</v>
      </c>
      <c r="S36" s="53">
        <f>(R36-O36)/O36</f>
        <v>-1</v>
      </c>
    </row>
    <row r="37" spans="3:1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2"/>
    </row>
    <row r="38" spans="1:19" ht="12.75">
      <c r="A38" s="6" t="s">
        <v>1063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2" t="s">
        <v>488</v>
      </c>
      <c r="P38" s="22"/>
      <c r="Q38" s="56">
        <f>P36-Q36</f>
        <v>0</v>
      </c>
      <c r="R38" s="2"/>
      <c r="S38" s="52"/>
    </row>
    <row r="39" spans="15:19" ht="12.75">
      <c r="O39" s="22" t="s">
        <v>761</v>
      </c>
      <c r="P39" s="22"/>
      <c r="Q39" s="56">
        <f>O36-Q36</f>
        <v>73195.2585465</v>
      </c>
      <c r="S39" s="52"/>
    </row>
    <row r="40" spans="1:19" ht="12.75">
      <c r="A40" s="33" t="s">
        <v>41</v>
      </c>
      <c r="B40">
        <v>33.4119</v>
      </c>
      <c r="M40" s="31">
        <v>23498.5</v>
      </c>
      <c r="N40" s="18">
        <f>M40*1.5</f>
        <v>35247.75</v>
      </c>
      <c r="O40" s="22" t="s">
        <v>436</v>
      </c>
      <c r="P40" s="22"/>
      <c r="Q40" s="56">
        <f>Q36-R36</f>
        <v>0</v>
      </c>
      <c r="S40" s="52"/>
    </row>
    <row r="41" spans="1:19" ht="12.75">
      <c r="A41" t="s">
        <v>615</v>
      </c>
      <c r="E41" s="119">
        <v>22000</v>
      </c>
      <c r="I41" s="43">
        <v>18631</v>
      </c>
      <c r="J41" s="43">
        <v>29422</v>
      </c>
      <c r="K41" s="43">
        <v>30850</v>
      </c>
      <c r="L41" s="43">
        <v>30591</v>
      </c>
      <c r="N41" s="44">
        <v>40000</v>
      </c>
      <c r="S41" s="52"/>
    </row>
    <row r="42" spans="1:19" ht="12.75">
      <c r="A42" t="s">
        <v>44</v>
      </c>
      <c r="E42" s="119"/>
      <c r="I42" s="43"/>
      <c r="J42" s="43"/>
      <c r="K42" s="43"/>
      <c r="L42" s="43"/>
      <c r="N42" s="44">
        <v>20000</v>
      </c>
      <c r="S42" s="52"/>
    </row>
    <row r="43" spans="1:19" ht="13.5" thickBot="1">
      <c r="A43" t="s">
        <v>616</v>
      </c>
      <c r="E43" s="119">
        <v>2572</v>
      </c>
      <c r="I43" s="43">
        <v>2193</v>
      </c>
      <c r="J43" s="43">
        <v>1319</v>
      </c>
      <c r="K43" s="43">
        <v>2437</v>
      </c>
      <c r="L43" s="43">
        <v>1516</v>
      </c>
      <c r="M43" s="44">
        <v>590</v>
      </c>
      <c r="N43">
        <f>M43*2</f>
        <v>1180</v>
      </c>
      <c r="S43" s="52"/>
    </row>
    <row r="44" spans="1:19" ht="13.5" thickTop="1">
      <c r="A44" s="179" t="s">
        <v>116</v>
      </c>
      <c r="B44" s="180"/>
      <c r="C44" s="180"/>
      <c r="D44" s="180"/>
      <c r="E44" s="181"/>
      <c r="F44" s="180"/>
      <c r="G44" s="180"/>
      <c r="H44" s="180"/>
      <c r="I44" s="182"/>
      <c r="J44" s="182">
        <f>SUM(J40:J43)</f>
        <v>30741</v>
      </c>
      <c r="K44" s="182">
        <f>SUM(K40:K43)</f>
        <v>33287</v>
      </c>
      <c r="L44" s="182">
        <f>SUM(L40:L43)</f>
        <v>32107</v>
      </c>
      <c r="M44" s="182">
        <f>SUM(M40:M43)</f>
        <v>24088.5</v>
      </c>
      <c r="N44" s="182">
        <f>SUM(N40:N43)</f>
        <v>96427.75</v>
      </c>
      <c r="S44" s="52"/>
    </row>
    <row r="45" spans="5:19" ht="12.75">
      <c r="E45" s="119"/>
      <c r="I45" s="43"/>
      <c r="J45" s="166">
        <f>J43/J36</f>
        <v>0.02165454515604735</v>
      </c>
      <c r="K45" s="166">
        <f>K43/K36</f>
        <v>0.03504357079175175</v>
      </c>
      <c r="L45" s="166">
        <f>L43/L36</f>
        <v>0.021665499549826363</v>
      </c>
      <c r="S45" s="52"/>
    </row>
    <row r="46" spans="1:19" ht="12.75">
      <c r="A46" s="33"/>
      <c r="J46" s="166">
        <f>J41/J36</f>
        <v>0.483032621365599</v>
      </c>
      <c r="K46" s="166">
        <f>K41/K36</f>
        <v>0.44361680710937273</v>
      </c>
      <c r="L46" s="166">
        <f>L41/L36</f>
        <v>0.4371829134094579</v>
      </c>
      <c r="S46" s="52"/>
    </row>
    <row r="47" spans="1:19" ht="12.75">
      <c r="A47" s="38" t="s">
        <v>765</v>
      </c>
      <c r="S47" s="52"/>
    </row>
    <row r="48" spans="1:19" ht="12.75">
      <c r="A48" s="33" t="s">
        <v>783</v>
      </c>
      <c r="S48" s="52"/>
    </row>
    <row r="49" spans="1:19" ht="12.75">
      <c r="A49" s="6"/>
      <c r="S49" s="52"/>
    </row>
    <row r="50" spans="1:19" ht="12.75">
      <c r="A50" t="s">
        <v>31</v>
      </c>
      <c r="S50" s="52"/>
    </row>
    <row r="51" ht="12.75">
      <c r="S51" s="52"/>
    </row>
    <row r="52" spans="12:19" ht="12.75">
      <c r="L52" s="2"/>
      <c r="S52" s="52"/>
    </row>
    <row r="53" spans="12:19" ht="12.75">
      <c r="L53" s="2"/>
      <c r="M53" s="5"/>
      <c r="S53" s="52"/>
    </row>
    <row r="54" spans="12:19" ht="12.75">
      <c r="L54" s="2"/>
      <c r="M54" s="5"/>
      <c r="S54" s="52"/>
    </row>
    <row r="55" spans="12:19" ht="12.75">
      <c r="L55" s="2"/>
      <c r="S55" s="52"/>
    </row>
    <row r="56" spans="12:13" ht="12.75">
      <c r="L56" s="2"/>
      <c r="M56" s="5"/>
    </row>
    <row r="57" spans="12:13" ht="12.75">
      <c r="L57" s="2"/>
      <c r="M57" s="5"/>
    </row>
    <row r="58" spans="12:13" ht="12.75">
      <c r="L58" s="2"/>
      <c r="M58" s="5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spans="12:13" ht="12.75">
      <c r="L63" s="2"/>
      <c r="M63" s="5"/>
    </row>
    <row r="64" ht="12.75">
      <c r="L64" s="2"/>
    </row>
    <row r="71" ht="12.75">
      <c r="M71" s="5"/>
    </row>
    <row r="72" ht="12.75">
      <c r="M72" s="5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W106"/>
  <sheetViews>
    <sheetView zoomScale="75" zoomScaleNormal="75" workbookViewId="0" topLeftCell="A1">
      <pane ySplit="1365" topLeftCell="BM4" activePane="bottomLeft" state="split"/>
      <selection pane="topLeft" activeCell="W1" sqref="W1:W16384"/>
      <selection pane="bottomLeft" activeCell="O60" sqref="O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57421875" style="0" hidden="1" customWidth="1"/>
    <col min="4" max="4" width="8.7109375" style="0" hidden="1" customWidth="1"/>
    <col min="5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8" width="12.0039062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480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/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3" ht="12.75">
      <c r="A7" t="s">
        <v>686</v>
      </c>
      <c r="B7" s="4">
        <v>51.11</v>
      </c>
      <c r="C7" s="2">
        <v>56442</v>
      </c>
      <c r="D7" s="2">
        <v>65564</v>
      </c>
      <c r="E7" s="2">
        <v>66886</v>
      </c>
      <c r="F7" s="2">
        <v>68436</v>
      </c>
      <c r="G7" s="2">
        <v>73146</v>
      </c>
      <c r="H7" s="2">
        <v>80979</v>
      </c>
      <c r="I7" s="2">
        <v>79830</v>
      </c>
      <c r="J7" s="2">
        <v>83759</v>
      </c>
      <c r="K7" s="2">
        <v>100666</v>
      </c>
      <c r="L7" s="2">
        <v>82525.31</v>
      </c>
      <c r="M7" s="2">
        <v>73704</v>
      </c>
      <c r="N7" s="2">
        <f aca="true" t="shared" si="0" ref="N7:N48">+M7/$M$3*12</f>
        <v>88444.79999999999</v>
      </c>
      <c r="O7" s="2">
        <v>91679.73099999999</v>
      </c>
      <c r="P7" s="2">
        <v>92310</v>
      </c>
      <c r="Q7" s="2">
        <v>88691.2</v>
      </c>
      <c r="R7" s="2">
        <v>88691.2</v>
      </c>
      <c r="S7" s="92">
        <f aca="true" t="shared" si="1" ref="S7:S12">(R7-O7)/O7</f>
        <v>-0.03259751056643031</v>
      </c>
      <c r="T7" t="s">
        <v>376</v>
      </c>
      <c r="W7" s="2"/>
    </row>
    <row r="8" spans="1:23" ht="12.75">
      <c r="A8" t="s">
        <v>675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>
        <v>10150</v>
      </c>
      <c r="M8" s="2">
        <v>18072</v>
      </c>
      <c r="N8" s="2">
        <v>19000</v>
      </c>
      <c r="O8" s="2">
        <v>18000</v>
      </c>
      <c r="P8" s="2">
        <v>25000</v>
      </c>
      <c r="Q8" s="2">
        <v>18000</v>
      </c>
      <c r="R8" s="2"/>
      <c r="S8" s="92">
        <f t="shared" si="1"/>
        <v>-1</v>
      </c>
      <c r="W8" s="2"/>
    </row>
    <row r="9" spans="1:23" ht="12.75">
      <c r="A9" t="s">
        <v>152</v>
      </c>
      <c r="B9" s="4">
        <v>51.13</v>
      </c>
      <c r="C9" s="2">
        <v>4765</v>
      </c>
      <c r="D9" s="2">
        <v>4650</v>
      </c>
      <c r="E9" s="2">
        <v>6521</v>
      </c>
      <c r="F9" s="2">
        <v>3178</v>
      </c>
      <c r="G9" s="2">
        <v>3527</v>
      </c>
      <c r="H9" s="2">
        <v>1490</v>
      </c>
      <c r="I9" s="2">
        <v>4619</v>
      </c>
      <c r="J9" s="2">
        <v>1458</v>
      </c>
      <c r="K9" s="2">
        <v>574</v>
      </c>
      <c r="L9" s="2">
        <v>1531</v>
      </c>
      <c r="M9" s="2">
        <v>0</v>
      </c>
      <c r="N9" s="2">
        <f t="shared" si="0"/>
        <v>0</v>
      </c>
      <c r="O9" s="2">
        <v>500</v>
      </c>
      <c r="P9" s="2"/>
      <c r="Q9" s="2"/>
      <c r="R9" s="2"/>
      <c r="S9" s="92">
        <f t="shared" si="1"/>
        <v>-1</v>
      </c>
      <c r="W9" s="2"/>
    </row>
    <row r="10" spans="1:23" ht="12.75">
      <c r="A10" t="s">
        <v>494</v>
      </c>
      <c r="B10" s="4">
        <v>51.21</v>
      </c>
      <c r="C10" s="2">
        <v>4360</v>
      </c>
      <c r="D10" s="2">
        <v>4063</v>
      </c>
      <c r="E10" s="2">
        <v>9288</v>
      </c>
      <c r="F10" s="2">
        <v>7508</v>
      </c>
      <c r="G10" s="2">
        <v>9028</v>
      </c>
      <c r="H10" s="2">
        <v>7894</v>
      </c>
      <c r="I10" s="2">
        <v>7896</v>
      </c>
      <c r="J10" s="2">
        <v>9037</v>
      </c>
      <c r="K10" s="2">
        <v>12379</v>
      </c>
      <c r="L10" s="2">
        <v>10407</v>
      </c>
      <c r="M10" s="2">
        <v>11382</v>
      </c>
      <c r="N10" s="2">
        <f t="shared" si="0"/>
        <v>13658.400000000001</v>
      </c>
      <c r="O10" s="31">
        <v>14400</v>
      </c>
      <c r="P10" s="31">
        <v>14760</v>
      </c>
      <c r="Q10" s="31">
        <f>3*4920</f>
        <v>14760</v>
      </c>
      <c r="R10" s="31">
        <f>3*4920</f>
        <v>14760</v>
      </c>
      <c r="S10" s="92">
        <f t="shared" si="1"/>
        <v>0.025</v>
      </c>
      <c r="T10" t="s">
        <v>825</v>
      </c>
      <c r="W10" s="2"/>
    </row>
    <row r="11" spans="1:23" ht="12.75">
      <c r="A11" t="s">
        <v>139</v>
      </c>
      <c r="B11" s="4">
        <v>51.22</v>
      </c>
      <c r="C11" s="2">
        <v>4682</v>
      </c>
      <c r="D11" s="2">
        <v>5371</v>
      </c>
      <c r="E11" s="2">
        <v>5615</v>
      </c>
      <c r="F11" s="2">
        <v>6825</v>
      </c>
      <c r="G11" s="2">
        <v>7992</v>
      </c>
      <c r="H11" s="2">
        <v>8150</v>
      </c>
      <c r="I11" s="2">
        <v>8134</v>
      </c>
      <c r="J11" s="2">
        <v>7761</v>
      </c>
      <c r="K11" s="2">
        <v>9415</v>
      </c>
      <c r="L11" s="2">
        <v>8955.68</v>
      </c>
      <c r="M11" s="2">
        <v>7676</v>
      </c>
      <c r="N11" s="2">
        <f t="shared" si="0"/>
        <v>9211.2</v>
      </c>
      <c r="O11" s="2">
        <v>8581.749421499999</v>
      </c>
      <c r="P11" s="31">
        <f>(P7+P8+P9+(P27*0.66))*0.0765</f>
        <v>9883.035</v>
      </c>
      <c r="Q11" s="31">
        <f>(Q7+Q8+Q9+(Q27*0.66))*0.0765</f>
        <v>9070.6968</v>
      </c>
      <c r="R11" s="31">
        <f>(R7+R8+R9+(R27*0.66))*0.0765</f>
        <v>7693.6968</v>
      </c>
      <c r="S11" s="92">
        <f t="shared" si="1"/>
        <v>-0.1034815371415001</v>
      </c>
      <c r="W11" s="2"/>
    </row>
    <row r="12" spans="1:23" ht="12.75">
      <c r="A12" t="s">
        <v>211</v>
      </c>
      <c r="B12" s="4">
        <v>51.24</v>
      </c>
      <c r="C12" s="2">
        <v>1475</v>
      </c>
      <c r="D12" s="2">
        <v>1173</v>
      </c>
      <c r="E12" s="2">
        <v>1001</v>
      </c>
      <c r="F12" s="2">
        <v>1037</v>
      </c>
      <c r="G12" s="2">
        <v>1195</v>
      </c>
      <c r="H12" s="2">
        <v>862</v>
      </c>
      <c r="I12" s="2">
        <v>362</v>
      </c>
      <c r="J12" s="2">
        <v>939</v>
      </c>
      <c r="K12" s="2">
        <v>782</v>
      </c>
      <c r="L12" s="2">
        <v>733</v>
      </c>
      <c r="M12" s="2">
        <v>207</v>
      </c>
      <c r="N12" s="2">
        <v>207</v>
      </c>
      <c r="O12" s="20">
        <v>2000</v>
      </c>
      <c r="P12" s="20">
        <v>1000</v>
      </c>
      <c r="Q12" s="20">
        <v>1000</v>
      </c>
      <c r="R12" s="20">
        <v>1000</v>
      </c>
      <c r="S12" s="92">
        <f t="shared" si="1"/>
        <v>-0.5</v>
      </c>
      <c r="W12" s="2"/>
    </row>
    <row r="13" spans="2:19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3"/>
      <c r="P13" s="13"/>
      <c r="Q13" s="13"/>
      <c r="R13" s="13"/>
      <c r="S13" s="92"/>
    </row>
    <row r="14" spans="1:19" ht="12.75" hidden="1">
      <c r="A14" t="s">
        <v>295</v>
      </c>
      <c r="B14" s="4">
        <v>52.1306</v>
      </c>
      <c r="C14" s="2"/>
      <c r="D14" s="2"/>
      <c r="E14" s="2">
        <v>120</v>
      </c>
      <c r="F14" s="2">
        <v>240</v>
      </c>
      <c r="G14" s="2">
        <v>60</v>
      </c>
      <c r="H14" s="2">
        <v>240</v>
      </c>
      <c r="I14" s="2"/>
      <c r="J14" s="2"/>
      <c r="K14" s="2"/>
      <c r="L14" s="2"/>
      <c r="M14" s="2"/>
      <c r="N14" s="2">
        <f t="shared" si="0"/>
        <v>0</v>
      </c>
      <c r="O14" s="2"/>
      <c r="P14" s="2"/>
      <c r="Q14" s="2"/>
      <c r="R14" s="2"/>
      <c r="S14" s="92"/>
    </row>
    <row r="15" spans="1:19" ht="12.75" hidden="1">
      <c r="A15" t="s">
        <v>401</v>
      </c>
      <c r="B15" s="4">
        <v>52.21</v>
      </c>
      <c r="C15" s="2"/>
      <c r="D15" s="2"/>
      <c r="E15" s="2"/>
      <c r="F15" s="2">
        <v>400</v>
      </c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/>
      <c r="P15" s="2"/>
      <c r="Q15" s="2"/>
      <c r="R15" s="2"/>
      <c r="S15" s="92"/>
    </row>
    <row r="16" spans="1:23" ht="12.75">
      <c r="A16" t="s">
        <v>196</v>
      </c>
      <c r="B16" s="4">
        <v>52.211</v>
      </c>
      <c r="C16" s="2"/>
      <c r="D16" s="2"/>
      <c r="E16" s="2">
        <v>1890</v>
      </c>
      <c r="F16" s="2">
        <v>1666</v>
      </c>
      <c r="G16" s="2">
        <v>1472</v>
      </c>
      <c r="H16" s="2">
        <v>1999</v>
      </c>
      <c r="I16" s="2">
        <v>2277</v>
      </c>
      <c r="J16" s="2">
        <v>1935</v>
      </c>
      <c r="K16" s="2">
        <v>3631</v>
      </c>
      <c r="L16" s="2">
        <v>4326</v>
      </c>
      <c r="M16" s="2">
        <v>2626</v>
      </c>
      <c r="N16" s="2">
        <f t="shared" si="0"/>
        <v>3151.2000000000003</v>
      </c>
      <c r="O16" s="20">
        <v>2400</v>
      </c>
      <c r="P16" s="20">
        <v>2400</v>
      </c>
      <c r="Q16" s="20">
        <v>2400</v>
      </c>
      <c r="R16" s="20">
        <v>2400</v>
      </c>
      <c r="S16" s="92">
        <f>(R16-O16)/O16</f>
        <v>0</v>
      </c>
      <c r="T16" s="2"/>
      <c r="W16" s="2"/>
    </row>
    <row r="17" spans="1:23" ht="12.75" hidden="1">
      <c r="A17" t="s">
        <v>296</v>
      </c>
      <c r="B17" s="4">
        <v>52.2205</v>
      </c>
      <c r="C17" s="2">
        <v>338</v>
      </c>
      <c r="D17" s="2">
        <v>540</v>
      </c>
      <c r="E17" s="2">
        <v>360</v>
      </c>
      <c r="F17" s="2">
        <v>119</v>
      </c>
      <c r="G17" s="2"/>
      <c r="H17" s="2">
        <v>95</v>
      </c>
      <c r="I17" s="2">
        <v>26</v>
      </c>
      <c r="J17" s="2"/>
      <c r="K17" s="2"/>
      <c r="L17" s="2"/>
      <c r="M17" s="2"/>
      <c r="N17" s="2">
        <f t="shared" si="0"/>
        <v>0</v>
      </c>
      <c r="O17" s="20"/>
      <c r="P17" s="20"/>
      <c r="Q17" s="20"/>
      <c r="R17" s="20"/>
      <c r="S17" s="92"/>
      <c r="W17" s="2"/>
    </row>
    <row r="18" spans="1:23" ht="12.75">
      <c r="A18" t="s">
        <v>297</v>
      </c>
      <c r="B18" s="4">
        <v>52.2206</v>
      </c>
      <c r="C18" s="2">
        <v>610</v>
      </c>
      <c r="D18" s="2">
        <v>482</v>
      </c>
      <c r="E18" s="2">
        <v>157</v>
      </c>
      <c r="F18" s="2">
        <v>144</v>
      </c>
      <c r="G18" s="2">
        <v>55</v>
      </c>
      <c r="H18" s="2">
        <v>95</v>
      </c>
      <c r="I18" s="2">
        <v>20</v>
      </c>
      <c r="J18" s="2"/>
      <c r="K18" s="2">
        <v>2653</v>
      </c>
      <c r="L18" s="2"/>
      <c r="M18" s="2"/>
      <c r="N18" s="2">
        <f t="shared" si="0"/>
        <v>0</v>
      </c>
      <c r="O18" s="2"/>
      <c r="P18" s="2"/>
      <c r="Q18" s="2"/>
      <c r="R18" s="2"/>
      <c r="S18" s="92"/>
      <c r="W18" s="2"/>
    </row>
    <row r="19" spans="1:23" ht="12.75">
      <c r="A19" t="s">
        <v>298</v>
      </c>
      <c r="B19" s="4">
        <v>52.3196</v>
      </c>
      <c r="C19" s="2">
        <v>3449</v>
      </c>
      <c r="D19" s="2">
        <v>2974</v>
      </c>
      <c r="E19" s="2">
        <v>1656</v>
      </c>
      <c r="F19" s="2">
        <v>2796</v>
      </c>
      <c r="G19" s="2">
        <v>3012</v>
      </c>
      <c r="H19" s="2">
        <v>3006</v>
      </c>
      <c r="I19" s="2">
        <v>3078</v>
      </c>
      <c r="J19" s="2">
        <v>2112</v>
      </c>
      <c r="K19" s="2">
        <v>2112</v>
      </c>
      <c r="L19" s="2">
        <v>1920</v>
      </c>
      <c r="M19" s="2">
        <v>264</v>
      </c>
      <c r="N19" s="2">
        <f t="shared" si="0"/>
        <v>316.79999999999995</v>
      </c>
      <c r="O19" s="2">
        <v>1000</v>
      </c>
      <c r="P19" s="2">
        <v>2100</v>
      </c>
      <c r="Q19" s="2">
        <v>2100</v>
      </c>
      <c r="R19" s="2">
        <v>2100</v>
      </c>
      <c r="S19" s="92">
        <f aca="true" t="shared" si="2" ref="S19:S24">(R19-O19)/O19</f>
        <v>1.1</v>
      </c>
      <c r="V19" s="2">
        <f>SUM(L7:L12)</f>
        <v>114301.98999999999</v>
      </c>
      <c r="W19" s="2"/>
    </row>
    <row r="20" spans="1:23" ht="12.75">
      <c r="A20" t="s">
        <v>141</v>
      </c>
      <c r="B20" s="4">
        <v>52.32</v>
      </c>
      <c r="C20" s="2">
        <v>1890</v>
      </c>
      <c r="D20" s="2">
        <v>1801</v>
      </c>
      <c r="E20" s="2">
        <v>2110</v>
      </c>
      <c r="F20" s="2">
        <v>1668</v>
      </c>
      <c r="G20" s="2">
        <v>1015</v>
      </c>
      <c r="H20" s="2">
        <v>1118</v>
      </c>
      <c r="I20" s="2">
        <v>1280</v>
      </c>
      <c r="J20" s="2">
        <v>2037</v>
      </c>
      <c r="K20" s="2">
        <v>2259</v>
      </c>
      <c r="L20" s="2">
        <v>2212</v>
      </c>
      <c r="M20" s="2">
        <v>1627</v>
      </c>
      <c r="N20" s="2">
        <f t="shared" si="0"/>
        <v>1952.3999999999999</v>
      </c>
      <c r="O20" s="2">
        <v>1800</v>
      </c>
      <c r="P20" s="2">
        <v>1100</v>
      </c>
      <c r="Q20" s="2">
        <v>1100</v>
      </c>
      <c r="R20" s="2">
        <v>1100</v>
      </c>
      <c r="S20" s="92">
        <f t="shared" si="2"/>
        <v>-0.3888888888888889</v>
      </c>
      <c r="W20" s="2"/>
    </row>
    <row r="21" spans="1:23" ht="12.75">
      <c r="A21" t="s">
        <v>142</v>
      </c>
      <c r="B21" s="4">
        <v>52.321</v>
      </c>
      <c r="C21" s="2">
        <v>236</v>
      </c>
      <c r="D21" s="2">
        <v>199</v>
      </c>
      <c r="E21" s="2">
        <v>206</v>
      </c>
      <c r="F21" s="2">
        <v>209</v>
      </c>
      <c r="G21" s="2">
        <v>180</v>
      </c>
      <c r="H21" s="2">
        <v>111</v>
      </c>
      <c r="I21" s="2">
        <v>74</v>
      </c>
      <c r="J21" s="2">
        <v>154</v>
      </c>
      <c r="K21" s="2">
        <v>41</v>
      </c>
      <c r="L21" s="2"/>
      <c r="M21" s="2">
        <v>50</v>
      </c>
      <c r="N21" s="2">
        <f t="shared" si="0"/>
        <v>60</v>
      </c>
      <c r="O21" s="2">
        <v>100</v>
      </c>
      <c r="P21" s="2">
        <v>100</v>
      </c>
      <c r="Q21" s="2">
        <v>100</v>
      </c>
      <c r="R21" s="2">
        <v>100</v>
      </c>
      <c r="S21" s="92">
        <f t="shared" si="2"/>
        <v>0</v>
      </c>
      <c r="W21" s="2"/>
    </row>
    <row r="22" spans="1:23" ht="12.75">
      <c r="A22" t="s">
        <v>154</v>
      </c>
      <c r="B22" s="4">
        <v>52.35</v>
      </c>
      <c r="C22" s="2">
        <v>285</v>
      </c>
      <c r="D22" s="2">
        <v>245</v>
      </c>
      <c r="E22" s="2">
        <v>746</v>
      </c>
      <c r="F22" s="2">
        <v>744</v>
      </c>
      <c r="G22" s="2">
        <v>590</v>
      </c>
      <c r="H22" s="2">
        <v>603</v>
      </c>
      <c r="I22" s="2">
        <v>788</v>
      </c>
      <c r="J22" s="2">
        <v>821</v>
      </c>
      <c r="K22" s="2">
        <v>362</v>
      </c>
      <c r="L22" s="2">
        <v>540</v>
      </c>
      <c r="M22" s="2">
        <v>0</v>
      </c>
      <c r="N22" s="2">
        <f t="shared" si="0"/>
        <v>0</v>
      </c>
      <c r="O22" s="2">
        <v>500</v>
      </c>
      <c r="P22" s="2"/>
      <c r="Q22" s="2"/>
      <c r="R22" s="2"/>
      <c r="S22" s="92">
        <f t="shared" si="2"/>
        <v>-1</v>
      </c>
      <c r="T22" t="s">
        <v>676</v>
      </c>
      <c r="W22" s="2"/>
    </row>
    <row r="23" spans="1:23" ht="12.75">
      <c r="A23" t="s">
        <v>144</v>
      </c>
      <c r="B23" s="4">
        <v>52.36</v>
      </c>
      <c r="C23" s="2">
        <v>775</v>
      </c>
      <c r="D23" s="2">
        <v>1010</v>
      </c>
      <c r="E23" s="2">
        <v>1525</v>
      </c>
      <c r="F23" s="2">
        <v>1350</v>
      </c>
      <c r="G23" s="2">
        <v>1685</v>
      </c>
      <c r="H23" s="2">
        <v>1795</v>
      </c>
      <c r="I23" s="2">
        <v>2433</v>
      </c>
      <c r="J23" s="2">
        <v>1855</v>
      </c>
      <c r="K23" s="2">
        <v>1320</v>
      </c>
      <c r="L23" s="2">
        <v>1491</v>
      </c>
      <c r="M23" s="2">
        <v>680</v>
      </c>
      <c r="N23" s="2">
        <f t="shared" si="0"/>
        <v>816</v>
      </c>
      <c r="O23" s="2">
        <v>1500</v>
      </c>
      <c r="P23" s="2">
        <v>1500</v>
      </c>
      <c r="Q23" s="2">
        <v>1500</v>
      </c>
      <c r="R23" s="2">
        <v>1500</v>
      </c>
      <c r="S23" s="92">
        <f t="shared" si="2"/>
        <v>0</v>
      </c>
      <c r="T23" t="s">
        <v>603</v>
      </c>
      <c r="W23" s="2"/>
    </row>
    <row r="24" spans="1:23" ht="12.75">
      <c r="A24" t="s">
        <v>626</v>
      </c>
      <c r="B24" s="4">
        <v>52.3702</v>
      </c>
      <c r="C24" s="2"/>
      <c r="D24" s="2"/>
      <c r="E24" s="2"/>
      <c r="F24" s="2"/>
      <c r="G24" s="2"/>
      <c r="H24" s="2">
        <v>1485</v>
      </c>
      <c r="I24" s="2"/>
      <c r="J24" s="2">
        <v>1223</v>
      </c>
      <c r="K24" s="2">
        <v>650</v>
      </c>
      <c r="L24" s="2">
        <v>650</v>
      </c>
      <c r="M24" s="2">
        <v>0</v>
      </c>
      <c r="N24" s="2">
        <v>700</v>
      </c>
      <c r="O24" s="2">
        <v>1500</v>
      </c>
      <c r="P24" s="2"/>
      <c r="Q24" s="2"/>
      <c r="R24" s="2"/>
      <c r="S24" s="92">
        <f t="shared" si="2"/>
        <v>-1</v>
      </c>
      <c r="T24" t="s">
        <v>837</v>
      </c>
      <c r="W24" s="2"/>
    </row>
    <row r="25" spans="1:20" ht="12.75">
      <c r="A25" t="s">
        <v>155</v>
      </c>
      <c r="B25" s="4">
        <v>52.37</v>
      </c>
      <c r="C25" s="2"/>
      <c r="D25" s="2"/>
      <c r="E25" s="2"/>
      <c r="F25" s="2">
        <v>99</v>
      </c>
      <c r="G25" s="2">
        <v>156</v>
      </c>
      <c r="H25" s="2"/>
      <c r="I25" s="2"/>
      <c r="J25" s="2"/>
      <c r="K25" s="2">
        <v>245</v>
      </c>
      <c r="L25" s="2">
        <v>60</v>
      </c>
      <c r="M25" s="2"/>
      <c r="N25" s="2"/>
      <c r="O25" s="2">
        <v>0</v>
      </c>
      <c r="P25" s="2"/>
      <c r="Q25" s="2"/>
      <c r="R25" s="2"/>
      <c r="S25" s="92"/>
      <c r="T25" s="10"/>
    </row>
    <row r="26" spans="1:20" ht="12.75">
      <c r="A26" t="s">
        <v>570</v>
      </c>
      <c r="B26" s="4">
        <v>52.3851</v>
      </c>
      <c r="C26" s="2"/>
      <c r="D26" s="2"/>
      <c r="E26" s="2"/>
      <c r="F26" s="2"/>
      <c r="G26" s="2"/>
      <c r="H26" s="2">
        <v>615</v>
      </c>
      <c r="I26" s="2">
        <v>975</v>
      </c>
      <c r="J26" s="2">
        <v>1174</v>
      </c>
      <c r="K26" s="2">
        <v>500</v>
      </c>
      <c r="L26" s="2"/>
      <c r="M26" s="2"/>
      <c r="N26" s="2">
        <v>300</v>
      </c>
      <c r="O26" s="2">
        <v>300</v>
      </c>
      <c r="P26" s="2">
        <v>300</v>
      </c>
      <c r="Q26" s="2">
        <v>300</v>
      </c>
      <c r="R26" s="2">
        <v>300</v>
      </c>
      <c r="S26" s="92"/>
      <c r="T26" s="10"/>
    </row>
    <row r="27" spans="1:20" ht="12.75">
      <c r="A27" t="s">
        <v>299</v>
      </c>
      <c r="B27" s="4">
        <v>52.386</v>
      </c>
      <c r="C27" s="2">
        <v>8404</v>
      </c>
      <c r="D27" s="2">
        <v>8252</v>
      </c>
      <c r="E27" s="2">
        <v>14122</v>
      </c>
      <c r="F27" s="2">
        <v>23531</v>
      </c>
      <c r="G27" s="2">
        <v>27945</v>
      </c>
      <c r="H27" s="2">
        <v>30045</v>
      </c>
      <c r="I27" s="2">
        <v>31042</v>
      </c>
      <c r="J27" s="2">
        <v>25674</v>
      </c>
      <c r="K27" s="2">
        <v>30297</v>
      </c>
      <c r="L27" s="2">
        <v>30145</v>
      </c>
      <c r="M27" s="2">
        <v>13194</v>
      </c>
      <c r="N27" s="2">
        <f>M27*2</f>
        <v>26388</v>
      </c>
      <c r="O27" s="2">
        <v>23300</v>
      </c>
      <c r="P27" s="2">
        <v>18000</v>
      </c>
      <c r="Q27" s="2">
        <v>18000</v>
      </c>
      <c r="R27" s="2">
        <v>18000</v>
      </c>
      <c r="S27" s="92">
        <f>(R27-O27)/O27</f>
        <v>-0.22746781115879827</v>
      </c>
      <c r="T27" t="s">
        <v>754</v>
      </c>
    </row>
    <row r="28" spans="14:19" ht="12.75">
      <c r="N28" s="2"/>
      <c r="S28" s="92"/>
    </row>
    <row r="29" spans="1:19" ht="12.75">
      <c r="A29" t="s">
        <v>148</v>
      </c>
      <c r="B29" s="4">
        <v>53.12</v>
      </c>
      <c r="C29" s="2">
        <v>23234</v>
      </c>
      <c r="D29" s="2">
        <v>27139</v>
      </c>
      <c r="E29" s="2">
        <v>21920</v>
      </c>
      <c r="F29" s="2">
        <v>20332</v>
      </c>
      <c r="G29" s="2">
        <v>22674</v>
      </c>
      <c r="H29" s="2">
        <v>19984</v>
      </c>
      <c r="I29" s="2">
        <f>21345+2056</f>
        <v>23401</v>
      </c>
      <c r="J29" s="2">
        <v>28344</v>
      </c>
      <c r="K29" s="2">
        <v>41348</v>
      </c>
      <c r="L29" s="2">
        <v>45321</v>
      </c>
      <c r="M29" s="2">
        <v>36364</v>
      </c>
      <c r="N29" s="2">
        <f t="shared" si="0"/>
        <v>43636.8</v>
      </c>
      <c r="O29" s="2">
        <v>42000</v>
      </c>
      <c r="P29" s="2">
        <v>42000</v>
      </c>
      <c r="Q29" s="2">
        <v>42000</v>
      </c>
      <c r="R29" s="2">
        <v>42000</v>
      </c>
      <c r="S29" s="92">
        <f>(R29-O29)/O29</f>
        <v>0</v>
      </c>
    </row>
    <row r="30" spans="1:20" ht="12.75">
      <c r="A30" t="s">
        <v>300</v>
      </c>
      <c r="B30" s="4">
        <v>53.132</v>
      </c>
      <c r="C30" s="2">
        <v>3113</v>
      </c>
      <c r="D30" s="2">
        <v>6803</v>
      </c>
      <c r="E30" s="2">
        <v>7360</v>
      </c>
      <c r="F30" s="2">
        <v>8843</v>
      </c>
      <c r="G30" s="2">
        <v>9983</v>
      </c>
      <c r="H30" s="2">
        <v>3996</v>
      </c>
      <c r="I30" s="2">
        <f>6027+436</f>
        <v>6463</v>
      </c>
      <c r="J30" s="2">
        <v>6248</v>
      </c>
      <c r="K30" s="2">
        <v>9013</v>
      </c>
      <c r="L30" s="2">
        <f>6620+298</f>
        <v>6918</v>
      </c>
      <c r="M30" s="2">
        <v>1519</v>
      </c>
      <c r="N30" s="2">
        <f t="shared" si="0"/>
        <v>1822.8000000000002</v>
      </c>
      <c r="O30" s="2">
        <v>6000</v>
      </c>
      <c r="P30" s="2"/>
      <c r="Q30" s="2"/>
      <c r="R30" s="2"/>
      <c r="S30" s="92">
        <f>(R30-O30)/O30</f>
        <v>-1</v>
      </c>
      <c r="T30" t="s">
        <v>604</v>
      </c>
    </row>
    <row r="31" spans="1:19" ht="12.75">
      <c r="A31" t="s">
        <v>200</v>
      </c>
      <c r="B31" s="4">
        <v>53.1702</v>
      </c>
      <c r="C31" s="2">
        <v>577</v>
      </c>
      <c r="D31" s="2">
        <v>467</v>
      </c>
      <c r="E31" s="2">
        <v>1231</v>
      </c>
      <c r="F31" s="2">
        <v>1100</v>
      </c>
      <c r="G31" s="2">
        <v>1068</v>
      </c>
      <c r="H31" s="2">
        <v>721</v>
      </c>
      <c r="I31" s="2">
        <v>296</v>
      </c>
      <c r="J31" s="2">
        <v>585</v>
      </c>
      <c r="K31" s="2">
        <v>194</v>
      </c>
      <c r="L31" s="2">
        <v>547</v>
      </c>
      <c r="M31" s="2">
        <v>340</v>
      </c>
      <c r="N31" s="2">
        <v>500</v>
      </c>
      <c r="O31" s="2">
        <v>500</v>
      </c>
      <c r="P31" s="2">
        <v>500</v>
      </c>
      <c r="Q31" s="2">
        <v>500</v>
      </c>
      <c r="R31" s="2">
        <v>500</v>
      </c>
      <c r="S31" s="92">
        <f>(R31-O31)/O31</f>
        <v>0</v>
      </c>
    </row>
    <row r="32" spans="1:20" ht="12.75">
      <c r="A32" t="s">
        <v>301</v>
      </c>
      <c r="B32" s="4">
        <v>53.1707</v>
      </c>
      <c r="C32" s="2">
        <v>14332</v>
      </c>
      <c r="D32" s="2">
        <v>23324</v>
      </c>
      <c r="E32" s="2">
        <v>18418</v>
      </c>
      <c r="F32" s="2">
        <v>19406</v>
      </c>
      <c r="G32" s="2">
        <v>19507</v>
      </c>
      <c r="H32" s="2">
        <v>24240</v>
      </c>
      <c r="I32" s="2">
        <f>28568+1460</f>
        <v>30028</v>
      </c>
      <c r="J32" s="2">
        <v>24022</v>
      </c>
      <c r="K32" s="2">
        <f>19303+4298</f>
        <v>23601</v>
      </c>
      <c r="L32" s="2">
        <v>7676</v>
      </c>
      <c r="M32" s="2">
        <v>5015</v>
      </c>
      <c r="N32" s="2">
        <f t="shared" si="0"/>
        <v>6018</v>
      </c>
      <c r="O32" s="2">
        <v>10000</v>
      </c>
      <c r="P32" s="2">
        <v>10000</v>
      </c>
      <c r="Q32" s="2">
        <v>10000</v>
      </c>
      <c r="R32" s="2">
        <v>10000</v>
      </c>
      <c r="S32" s="92">
        <f>(R32-O32)/O32</f>
        <v>0</v>
      </c>
      <c r="T32" t="s">
        <v>515</v>
      </c>
    </row>
    <row r="33" spans="1:20" ht="12.75">
      <c r="A33" t="s">
        <v>302</v>
      </c>
      <c r="B33" s="4">
        <v>53.1708</v>
      </c>
      <c r="C33" s="2">
        <v>2487</v>
      </c>
      <c r="D33" s="2">
        <v>4131</v>
      </c>
      <c r="E33" s="2">
        <v>3442</v>
      </c>
      <c r="F33" s="2">
        <v>3805</v>
      </c>
      <c r="G33" s="2">
        <v>3095</v>
      </c>
      <c r="H33" s="2">
        <v>3347</v>
      </c>
      <c r="I33" s="2">
        <v>1911</v>
      </c>
      <c r="J33" s="2">
        <v>3435</v>
      </c>
      <c r="K33" s="2">
        <v>2872</v>
      </c>
      <c r="L33" s="2">
        <v>3972</v>
      </c>
      <c r="M33" s="2">
        <v>1943.3</v>
      </c>
      <c r="N33" s="2">
        <v>2000</v>
      </c>
      <c r="O33" s="2">
        <v>3500</v>
      </c>
      <c r="P33" s="2">
        <v>2500</v>
      </c>
      <c r="Q33" s="2">
        <v>2500</v>
      </c>
      <c r="R33" s="2">
        <v>2500</v>
      </c>
      <c r="S33" s="92">
        <f>(R33-O33)/O33</f>
        <v>-0.2857142857142857</v>
      </c>
      <c r="T33" t="s">
        <v>515</v>
      </c>
    </row>
    <row r="34" spans="1:19" ht="12.75" hidden="1">
      <c r="A34" t="s">
        <v>303</v>
      </c>
      <c r="B34" s="4">
        <v>53.1709</v>
      </c>
      <c r="C34" s="2">
        <v>1366</v>
      </c>
      <c r="D34" s="2">
        <v>1479</v>
      </c>
      <c r="E34" s="2">
        <v>1321</v>
      </c>
      <c r="F34" s="2">
        <v>2177</v>
      </c>
      <c r="G34" s="2"/>
      <c r="H34" s="2">
        <v>331</v>
      </c>
      <c r="I34" s="2"/>
      <c r="J34" s="2"/>
      <c r="K34" s="2"/>
      <c r="L34" s="2"/>
      <c r="M34" s="2"/>
      <c r="N34" s="2">
        <f t="shared" si="0"/>
        <v>0</v>
      </c>
      <c r="O34" s="2"/>
      <c r="P34" s="2"/>
      <c r="Q34" s="2"/>
      <c r="R34" s="2"/>
      <c r="S34" s="92"/>
    </row>
    <row r="35" spans="1:19" ht="12.75">
      <c r="A35" t="s">
        <v>149</v>
      </c>
      <c r="B35" s="4">
        <v>53.171</v>
      </c>
      <c r="C35" s="2">
        <v>722</v>
      </c>
      <c r="D35" s="2">
        <v>585</v>
      </c>
      <c r="E35" s="2">
        <v>842</v>
      </c>
      <c r="F35" s="2">
        <v>850</v>
      </c>
      <c r="G35" s="2">
        <v>665</v>
      </c>
      <c r="H35" s="2">
        <v>944</v>
      </c>
      <c r="I35" s="2">
        <v>1100</v>
      </c>
      <c r="J35" s="2">
        <v>551</v>
      </c>
      <c r="K35" s="2">
        <v>522</v>
      </c>
      <c r="L35" s="2">
        <v>417</v>
      </c>
      <c r="M35" s="2">
        <v>667.19</v>
      </c>
      <c r="N35" s="2">
        <f t="shared" si="0"/>
        <v>800.6280000000002</v>
      </c>
      <c r="O35" s="2">
        <v>500</v>
      </c>
      <c r="P35" s="2">
        <v>500</v>
      </c>
      <c r="Q35" s="2">
        <v>500</v>
      </c>
      <c r="R35" s="2">
        <v>500</v>
      </c>
      <c r="S35" s="92">
        <f aca="true" t="shared" si="3" ref="S35:S44">(R35-O35)/O35</f>
        <v>0</v>
      </c>
    </row>
    <row r="36" spans="1:19" ht="12.75">
      <c r="A36" t="s">
        <v>304</v>
      </c>
      <c r="B36" s="4">
        <v>53.1712</v>
      </c>
      <c r="C36" s="2">
        <v>416</v>
      </c>
      <c r="D36" s="2">
        <v>659</v>
      </c>
      <c r="E36" s="2">
        <v>593</v>
      </c>
      <c r="F36" s="2">
        <v>829</v>
      </c>
      <c r="G36" s="2">
        <v>150</v>
      </c>
      <c r="H36" s="2">
        <v>315</v>
      </c>
      <c r="I36" s="2">
        <v>727</v>
      </c>
      <c r="J36" s="2">
        <v>740</v>
      </c>
      <c r="K36" s="2">
        <v>92</v>
      </c>
      <c r="L36" s="2">
        <v>179</v>
      </c>
      <c r="M36" s="2"/>
      <c r="N36" s="2">
        <f t="shared" si="0"/>
        <v>0</v>
      </c>
      <c r="O36" s="2">
        <v>300</v>
      </c>
      <c r="P36" s="2">
        <v>300</v>
      </c>
      <c r="Q36" s="2">
        <v>300</v>
      </c>
      <c r="R36" s="2">
        <v>300</v>
      </c>
      <c r="S36" s="92">
        <f t="shared" si="3"/>
        <v>0</v>
      </c>
    </row>
    <row r="37" spans="1:19" ht="12.75">
      <c r="A37" t="s">
        <v>305</v>
      </c>
      <c r="B37" s="4">
        <v>53.1713</v>
      </c>
      <c r="C37" s="2">
        <v>1819</v>
      </c>
      <c r="D37" s="2">
        <v>1959</v>
      </c>
      <c r="E37" s="2">
        <v>1603</v>
      </c>
      <c r="F37" s="2">
        <v>1915</v>
      </c>
      <c r="G37" s="2">
        <v>2216</v>
      </c>
      <c r="H37" s="2">
        <v>2001</v>
      </c>
      <c r="I37" s="2">
        <v>820</v>
      </c>
      <c r="J37" s="2">
        <v>216</v>
      </c>
      <c r="K37" s="2">
        <v>474</v>
      </c>
      <c r="L37" s="2">
        <v>148</v>
      </c>
      <c r="M37" s="2"/>
      <c r="N37" s="2"/>
      <c r="O37" s="2">
        <v>400</v>
      </c>
      <c r="P37" s="2">
        <v>200</v>
      </c>
      <c r="Q37" s="2">
        <v>200</v>
      </c>
      <c r="R37" s="2">
        <v>200</v>
      </c>
      <c r="S37" s="92">
        <f t="shared" si="3"/>
        <v>-0.5</v>
      </c>
    </row>
    <row r="38" spans="1:20" ht="12.75">
      <c r="A38" t="s">
        <v>306</v>
      </c>
      <c r="B38" s="4">
        <v>53.1714</v>
      </c>
      <c r="C38" s="2">
        <v>417</v>
      </c>
      <c r="D38" s="2">
        <v>495</v>
      </c>
      <c r="E38" s="2">
        <v>880</v>
      </c>
      <c r="F38" s="2">
        <v>441</v>
      </c>
      <c r="G38" s="2">
        <v>500</v>
      </c>
      <c r="H38" s="2">
        <v>691</v>
      </c>
      <c r="I38" s="2">
        <v>693</v>
      </c>
      <c r="J38" s="2">
        <v>199</v>
      </c>
      <c r="K38" s="2">
        <v>423</v>
      </c>
      <c r="L38" s="2">
        <v>240</v>
      </c>
      <c r="M38" s="2"/>
      <c r="N38" s="2"/>
      <c r="O38" s="2">
        <v>500</v>
      </c>
      <c r="P38" s="2"/>
      <c r="Q38" s="2"/>
      <c r="R38" s="2"/>
      <c r="S38" s="92">
        <f t="shared" si="3"/>
        <v>-1</v>
      </c>
      <c r="T38" t="s">
        <v>837</v>
      </c>
    </row>
    <row r="39" spans="1:20" ht="12.75">
      <c r="A39" t="s">
        <v>403</v>
      </c>
      <c r="B39" s="4">
        <v>53.1718</v>
      </c>
      <c r="C39" s="2"/>
      <c r="D39" s="2"/>
      <c r="E39" s="2"/>
      <c r="F39" s="2"/>
      <c r="G39" s="2">
        <v>958</v>
      </c>
      <c r="H39" s="2">
        <v>925</v>
      </c>
      <c r="I39" s="2">
        <v>969</v>
      </c>
      <c r="J39" s="2">
        <v>710</v>
      </c>
      <c r="K39" s="2">
        <v>648</v>
      </c>
      <c r="L39" s="2">
        <v>778</v>
      </c>
      <c r="M39" s="2">
        <v>791</v>
      </c>
      <c r="N39" s="2">
        <f t="shared" si="0"/>
        <v>949.1999999999999</v>
      </c>
      <c r="O39" s="2">
        <v>1000</v>
      </c>
      <c r="P39" s="2">
        <v>1000</v>
      </c>
      <c r="Q39" s="2">
        <v>1000</v>
      </c>
      <c r="R39" s="2">
        <v>1000</v>
      </c>
      <c r="S39" s="92">
        <f t="shared" si="3"/>
        <v>0</v>
      </c>
      <c r="T39" t="s">
        <v>515</v>
      </c>
    </row>
    <row r="40" spans="1:19" ht="12.75">
      <c r="A40" t="s">
        <v>307</v>
      </c>
      <c r="B40" s="4">
        <v>53.172</v>
      </c>
      <c r="C40" s="2">
        <v>27989</v>
      </c>
      <c r="D40" s="2">
        <v>11132</v>
      </c>
      <c r="E40" s="2">
        <v>13023</v>
      </c>
      <c r="F40" s="2">
        <v>14225</v>
      </c>
      <c r="G40" s="2">
        <v>15837</v>
      </c>
      <c r="H40" s="2">
        <v>14353</v>
      </c>
      <c r="I40" s="2">
        <f>7919+208</f>
        <v>8127</v>
      </c>
      <c r="J40" s="2">
        <v>16264</v>
      </c>
      <c r="K40" s="2">
        <f>19961+8</f>
        <v>19969</v>
      </c>
      <c r="L40" s="2">
        <f>20321+50</f>
        <v>20371</v>
      </c>
      <c r="M40" s="2">
        <v>14310</v>
      </c>
      <c r="N40" s="2">
        <v>15000</v>
      </c>
      <c r="O40" s="2">
        <v>15000</v>
      </c>
      <c r="P40" s="2">
        <v>18000</v>
      </c>
      <c r="Q40" s="2">
        <v>15000</v>
      </c>
      <c r="R40" s="2">
        <v>15000</v>
      </c>
      <c r="S40" s="92">
        <f t="shared" si="3"/>
        <v>0</v>
      </c>
    </row>
    <row r="41" spans="1:19" ht="12.75">
      <c r="A41" t="s">
        <v>967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>
        <v>125</v>
      </c>
      <c r="M41" s="2"/>
      <c r="N41" s="2"/>
      <c r="O41" s="2"/>
      <c r="P41" s="2"/>
      <c r="Q41" s="2"/>
      <c r="R41" s="2"/>
      <c r="S41" s="92"/>
    </row>
    <row r="42" spans="1:19" ht="12.75">
      <c r="A42" t="s">
        <v>240</v>
      </c>
      <c r="B42" s="4">
        <v>53.174</v>
      </c>
      <c r="C42" s="2"/>
      <c r="D42" s="2">
        <v>16</v>
      </c>
      <c r="E42" s="2">
        <v>550</v>
      </c>
      <c r="F42" s="2">
        <v>830</v>
      </c>
      <c r="G42" s="2">
        <v>1214</v>
      </c>
      <c r="H42" s="2">
        <v>660</v>
      </c>
      <c r="I42" s="2">
        <v>597</v>
      </c>
      <c r="J42" s="2">
        <v>395</v>
      </c>
      <c r="K42" s="2">
        <v>634</v>
      </c>
      <c r="L42" s="2">
        <v>51</v>
      </c>
      <c r="M42" s="2"/>
      <c r="N42" s="2">
        <v>300</v>
      </c>
      <c r="O42" s="2">
        <v>300</v>
      </c>
      <c r="P42" s="2">
        <v>300</v>
      </c>
      <c r="Q42" s="2">
        <v>300</v>
      </c>
      <c r="R42" s="2">
        <v>300</v>
      </c>
      <c r="S42" s="92">
        <f t="shared" si="3"/>
        <v>0</v>
      </c>
    </row>
    <row r="43" spans="1:19" ht="12.75">
      <c r="A43" t="s">
        <v>188</v>
      </c>
      <c r="B43" s="4">
        <v>53.175</v>
      </c>
      <c r="C43" s="2">
        <v>1392</v>
      </c>
      <c r="D43" s="2">
        <v>688</v>
      </c>
      <c r="E43" s="2">
        <v>903</v>
      </c>
      <c r="F43" s="2">
        <v>841</v>
      </c>
      <c r="G43" s="2">
        <v>762</v>
      </c>
      <c r="H43" s="2">
        <v>691</v>
      </c>
      <c r="I43" s="2">
        <v>411</v>
      </c>
      <c r="J43" s="2">
        <v>857</v>
      </c>
      <c r="K43" s="2">
        <v>1096</v>
      </c>
      <c r="L43" s="2">
        <v>942</v>
      </c>
      <c r="M43" s="2">
        <v>458</v>
      </c>
      <c r="N43" s="2">
        <f t="shared" si="0"/>
        <v>549.5999999999999</v>
      </c>
      <c r="O43" s="2">
        <v>750</v>
      </c>
      <c r="P43" s="2">
        <v>750</v>
      </c>
      <c r="Q43" s="2">
        <v>750</v>
      </c>
      <c r="R43" s="2">
        <v>750</v>
      </c>
      <c r="S43" s="92">
        <f t="shared" si="3"/>
        <v>0</v>
      </c>
    </row>
    <row r="44" spans="1:19" ht="12.75">
      <c r="A44" t="s">
        <v>177</v>
      </c>
      <c r="B44" s="4">
        <v>53.176</v>
      </c>
      <c r="C44" s="2">
        <v>234</v>
      </c>
      <c r="D44" s="2">
        <v>82</v>
      </c>
      <c r="E44" s="2">
        <v>80</v>
      </c>
      <c r="F44" s="2">
        <v>88</v>
      </c>
      <c r="G44" s="2">
        <v>101</v>
      </c>
      <c r="H44" s="2">
        <v>25</v>
      </c>
      <c r="I44" s="2">
        <v>94</v>
      </c>
      <c r="J44" s="2">
        <v>91</v>
      </c>
      <c r="K44" s="2">
        <v>126</v>
      </c>
      <c r="L44" s="2">
        <v>112</v>
      </c>
      <c r="M44" s="2">
        <v>30</v>
      </c>
      <c r="N44" s="2">
        <f t="shared" si="0"/>
        <v>36</v>
      </c>
      <c r="O44" s="2">
        <v>100</v>
      </c>
      <c r="P44" s="2">
        <v>100</v>
      </c>
      <c r="Q44" s="2">
        <v>100</v>
      </c>
      <c r="R44" s="2">
        <v>100</v>
      </c>
      <c r="S44" s="92">
        <f t="shared" si="3"/>
        <v>0</v>
      </c>
    </row>
    <row r="45" spans="1:19" ht="12.75">
      <c r="A45" t="s">
        <v>178</v>
      </c>
      <c r="B45" s="4">
        <v>53.177</v>
      </c>
      <c r="C45" s="2">
        <v>118</v>
      </c>
      <c r="D45" s="2">
        <v>345</v>
      </c>
      <c r="E45" s="2">
        <v>226</v>
      </c>
      <c r="F45" s="2">
        <v>264</v>
      </c>
      <c r="G45" s="2">
        <v>43</v>
      </c>
      <c r="H45" s="2"/>
      <c r="I45" s="2"/>
      <c r="J45" s="2">
        <v>748</v>
      </c>
      <c r="K45" s="2">
        <v>9</v>
      </c>
      <c r="L45" s="2">
        <v>401</v>
      </c>
      <c r="M45" s="11"/>
      <c r="N45" s="2">
        <f t="shared" si="0"/>
        <v>0</v>
      </c>
      <c r="O45" s="2"/>
      <c r="P45" s="2"/>
      <c r="Q45" s="2"/>
      <c r="R45" s="2"/>
      <c r="S45" s="92"/>
    </row>
    <row r="46" spans="1:19" ht="12.75">
      <c r="A46" t="s">
        <v>191</v>
      </c>
      <c r="B46" s="4">
        <v>53.178</v>
      </c>
      <c r="C46" s="2">
        <v>82</v>
      </c>
      <c r="D46" s="2">
        <v>87</v>
      </c>
      <c r="E46" s="2"/>
      <c r="F46" s="2">
        <v>110</v>
      </c>
      <c r="G46" s="2"/>
      <c r="H46" s="2">
        <v>82</v>
      </c>
      <c r="I46" s="2"/>
      <c r="J46" s="2"/>
      <c r="K46" s="2">
        <v>2288</v>
      </c>
      <c r="L46" s="2"/>
      <c r="N46" s="2">
        <f t="shared" si="0"/>
        <v>0</v>
      </c>
      <c r="O46" s="2"/>
      <c r="P46" s="2"/>
      <c r="Q46" s="2"/>
      <c r="R46" s="2"/>
      <c r="S46" s="92"/>
    </row>
    <row r="47" spans="1:19" ht="12.75">
      <c r="A47" t="s">
        <v>179</v>
      </c>
      <c r="B47" s="4">
        <v>53.179</v>
      </c>
      <c r="C47" s="2">
        <v>635</v>
      </c>
      <c r="D47" s="2">
        <v>1069</v>
      </c>
      <c r="E47" s="2">
        <v>1260</v>
      </c>
      <c r="F47" s="2">
        <v>817</v>
      </c>
      <c r="G47" s="2">
        <v>1189</v>
      </c>
      <c r="H47" s="2">
        <v>1168</v>
      </c>
      <c r="I47" s="2">
        <v>1893</v>
      </c>
      <c r="J47" s="2">
        <v>1971</v>
      </c>
      <c r="K47" s="2">
        <v>169</v>
      </c>
      <c r="L47" s="2">
        <v>4137</v>
      </c>
      <c r="M47" s="2">
        <v>2449</v>
      </c>
      <c r="N47" s="2">
        <f t="shared" si="0"/>
        <v>2938.8</v>
      </c>
      <c r="O47" s="2">
        <v>1600</v>
      </c>
      <c r="P47" s="2">
        <v>2600</v>
      </c>
      <c r="Q47" s="2">
        <v>2600</v>
      </c>
      <c r="R47" s="2">
        <v>2600</v>
      </c>
      <c r="S47" s="92">
        <f>(R47-O47)/O47</f>
        <v>0.625</v>
      </c>
    </row>
    <row r="48" spans="1:19" ht="12.75">
      <c r="A48" t="s">
        <v>242</v>
      </c>
      <c r="B48" s="4">
        <v>53.18</v>
      </c>
      <c r="C48" s="2">
        <v>81</v>
      </c>
      <c r="D48" s="2">
        <v>113</v>
      </c>
      <c r="E48" s="2">
        <v>101</v>
      </c>
      <c r="F48" s="2">
        <v>75</v>
      </c>
      <c r="G48" s="2">
        <v>37</v>
      </c>
      <c r="H48" s="2"/>
      <c r="I48" s="2">
        <v>58</v>
      </c>
      <c r="J48" s="2">
        <v>192</v>
      </c>
      <c r="K48" s="2"/>
      <c r="L48" s="2">
        <v>342</v>
      </c>
      <c r="M48" s="11">
        <v>217</v>
      </c>
      <c r="N48" s="2">
        <f t="shared" si="0"/>
        <v>260.4</v>
      </c>
      <c r="O48" s="2"/>
      <c r="P48" s="2">
        <v>300</v>
      </c>
      <c r="Q48" s="2">
        <v>300</v>
      </c>
      <c r="R48" s="2">
        <v>300</v>
      </c>
      <c r="S48" s="92"/>
    </row>
    <row r="49" spans="2:21" ht="12.75">
      <c r="B49" s="4"/>
      <c r="C49" s="2"/>
      <c r="D49" s="2"/>
      <c r="E49" s="2"/>
      <c r="F49" s="2"/>
      <c r="G49" s="2"/>
      <c r="H49" s="2"/>
      <c r="I49" s="2">
        <v>18</v>
      </c>
      <c r="J49" s="2"/>
      <c r="K49" s="2"/>
      <c r="L49" s="2"/>
      <c r="M49" s="11"/>
      <c r="N49" s="2"/>
      <c r="O49" s="2"/>
      <c r="P49" s="2"/>
      <c r="Q49" s="2"/>
      <c r="R49" s="2"/>
      <c r="S49" s="92"/>
      <c r="U49" s="2">
        <f>Q60-50000</f>
        <v>183071.8968</v>
      </c>
    </row>
    <row r="50" spans="1:19" ht="12.75">
      <c r="A50" t="s">
        <v>562</v>
      </c>
      <c r="B50" s="4">
        <v>54.24</v>
      </c>
      <c r="C50" s="2"/>
      <c r="D50" s="2"/>
      <c r="E50" s="2"/>
      <c r="F50" s="2"/>
      <c r="G50" s="2"/>
      <c r="H50" s="2"/>
      <c r="I50" s="2">
        <v>534</v>
      </c>
      <c r="J50" s="2"/>
      <c r="K50" s="2"/>
      <c r="L50" s="2"/>
      <c r="M50" s="2"/>
      <c r="N50" s="2"/>
      <c r="O50" s="2"/>
      <c r="P50" s="2"/>
      <c r="Q50" s="2"/>
      <c r="R50" s="2"/>
      <c r="S50" s="92"/>
    </row>
    <row r="51" spans="1:19" ht="12.75">
      <c r="A51" t="s">
        <v>361</v>
      </c>
      <c r="B51" s="4">
        <v>54.25</v>
      </c>
      <c r="C51" s="2"/>
      <c r="D51" s="2">
        <v>24788</v>
      </c>
      <c r="E51" s="2">
        <v>3233</v>
      </c>
      <c r="F51" s="2">
        <v>12167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2"/>
    </row>
    <row r="52" spans="2:19" ht="12.75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92"/>
    </row>
    <row r="53" spans="1:20" ht="12.75">
      <c r="A53" t="s">
        <v>1064</v>
      </c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-30623</v>
      </c>
      <c r="S53" s="187"/>
      <c r="T53" s="2">
        <f>Q60-50000</f>
        <v>183071.8968</v>
      </c>
    </row>
    <row r="54" spans="1:19" ht="12.75">
      <c r="A54" t="s">
        <v>805</v>
      </c>
      <c r="B54" s="4"/>
      <c r="C54" s="2"/>
      <c r="D54" s="2"/>
      <c r="E54" s="2"/>
      <c r="F54" s="2"/>
      <c r="G54" s="2"/>
      <c r="H54" s="2"/>
      <c r="I54" s="2"/>
      <c r="J54" s="2">
        <v>19200</v>
      </c>
      <c r="K54" s="2"/>
      <c r="L54" s="2"/>
      <c r="M54" s="2"/>
      <c r="N54" s="2"/>
      <c r="O54" s="2"/>
      <c r="P54" s="2"/>
      <c r="Q54" s="2"/>
      <c r="R54" s="2"/>
      <c r="S54" s="92"/>
    </row>
    <row r="55" spans="1:20" ht="12.75">
      <c r="A55" t="s">
        <v>27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92"/>
      <c r="T55" t="s">
        <v>582</v>
      </c>
    </row>
    <row r="56" spans="1:20" ht="12.75">
      <c r="A56" t="s">
        <v>28</v>
      </c>
      <c r="B56" s="4"/>
      <c r="C56" s="2"/>
      <c r="D56" s="2"/>
      <c r="E56" s="2"/>
      <c r="F56" s="2"/>
      <c r="G56" s="2"/>
      <c r="H56" s="2"/>
      <c r="I56" s="2"/>
      <c r="J56" s="2"/>
      <c r="K56" s="2"/>
      <c r="L56" s="2">
        <v>350</v>
      </c>
      <c r="M56" s="2"/>
      <c r="N56" s="2"/>
      <c r="O56" s="2"/>
      <c r="P56" s="2"/>
      <c r="Q56" s="2"/>
      <c r="R56" s="2"/>
      <c r="S56" s="92"/>
      <c r="T56" t="s">
        <v>589</v>
      </c>
    </row>
    <row r="57" spans="2:19" ht="12.75"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92"/>
    </row>
    <row r="58" spans="1:19" ht="12.75" hidden="1">
      <c r="A58" t="s">
        <v>509</v>
      </c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52"/>
    </row>
    <row r="59" spans="1:19" ht="12.75" hidden="1">
      <c r="A59" t="s">
        <v>510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/>
      <c r="Q59" s="5"/>
      <c r="R59" s="5"/>
      <c r="S59" s="52"/>
    </row>
    <row r="60" spans="1:19" ht="12.75">
      <c r="A60" s="6" t="s">
        <v>116</v>
      </c>
      <c r="B60" s="6"/>
      <c r="C60" s="7">
        <f aca="true" t="shared" si="4" ref="C60:I60">SUM(C7:C59)</f>
        <v>166725</v>
      </c>
      <c r="D60" s="8">
        <f t="shared" si="4"/>
        <v>201685</v>
      </c>
      <c r="E60" s="8">
        <f t="shared" si="4"/>
        <v>189189</v>
      </c>
      <c r="F60" s="8">
        <f t="shared" si="4"/>
        <v>209065</v>
      </c>
      <c r="G60" s="8">
        <f t="shared" si="4"/>
        <v>211057</v>
      </c>
      <c r="H60" s="8">
        <f t="shared" si="4"/>
        <v>215056</v>
      </c>
      <c r="I60" s="8">
        <f t="shared" si="4"/>
        <v>220974</v>
      </c>
      <c r="J60" s="8">
        <v>251537</v>
      </c>
      <c r="K60" s="8">
        <f aca="true" t="shared" si="5" ref="K60:Q60">SUM(K7:K59)</f>
        <v>271364</v>
      </c>
      <c r="L60" s="8">
        <v>248741</v>
      </c>
      <c r="M60" s="8">
        <f>SUM(M7:M59)</f>
        <v>193585.49</v>
      </c>
      <c r="N60" s="8">
        <f t="shared" si="5"/>
        <v>239018.02799999996</v>
      </c>
      <c r="O60" s="8">
        <f t="shared" si="5"/>
        <v>250011.4804215</v>
      </c>
      <c r="P60" s="8">
        <f t="shared" si="5"/>
        <v>247503.035</v>
      </c>
      <c r="Q60" s="8">
        <f t="shared" si="5"/>
        <v>233071.8968</v>
      </c>
      <c r="R60" s="8">
        <f>SUM(R7:R59)</f>
        <v>183071.8968</v>
      </c>
      <c r="S60" s="53">
        <f>(R60-O60)/O60</f>
        <v>-0.26774603913646305</v>
      </c>
    </row>
    <row r="62" spans="15:17" ht="12.75">
      <c r="O62" s="22" t="s">
        <v>488</v>
      </c>
      <c r="P62" s="22"/>
      <c r="Q62" s="56">
        <f>P60-Q60</f>
        <v>14431.138200000016</v>
      </c>
    </row>
    <row r="63" spans="15:17" ht="12.75">
      <c r="O63" s="22" t="s">
        <v>761</v>
      </c>
      <c r="P63" s="22"/>
      <c r="Q63" s="56">
        <f>O60-Q60</f>
        <v>16939.5836215</v>
      </c>
    </row>
    <row r="64" spans="2:17" ht="12.75">
      <c r="B64" s="4"/>
      <c r="O64" s="22" t="s">
        <v>436</v>
      </c>
      <c r="P64" s="22"/>
      <c r="Q64" s="56">
        <f>Q60-R60</f>
        <v>50000</v>
      </c>
    </row>
    <row r="65" spans="1:17" ht="12.75">
      <c r="A65" s="33" t="s">
        <v>0</v>
      </c>
      <c r="B65" s="4"/>
      <c r="O65" s="22"/>
      <c r="P65" s="22"/>
      <c r="Q65" s="56"/>
    </row>
    <row r="66" spans="1:18" ht="12.75">
      <c r="A66" t="s">
        <v>957</v>
      </c>
      <c r="P66" s="18"/>
      <c r="Q66" s="18"/>
      <c r="R66" s="18"/>
    </row>
    <row r="67" spans="1:18" ht="12.75">
      <c r="A67" t="s">
        <v>29</v>
      </c>
      <c r="P67" s="18"/>
      <c r="Q67" s="18"/>
      <c r="R67" s="18"/>
    </row>
    <row r="68" spans="1:18" ht="12.75">
      <c r="A68" t="s">
        <v>30</v>
      </c>
      <c r="P68" s="18"/>
      <c r="Q68" s="18"/>
      <c r="R68" s="18"/>
    </row>
    <row r="69" spans="2:17" ht="12.75">
      <c r="B69" s="4"/>
      <c r="O69" s="22"/>
      <c r="P69" s="22"/>
      <c r="Q69" s="56"/>
    </row>
    <row r="70" ht="12.75">
      <c r="A70" t="s">
        <v>31</v>
      </c>
    </row>
    <row r="72" ht="12.75">
      <c r="A72" s="6" t="s">
        <v>956</v>
      </c>
    </row>
    <row r="73" spans="1:18" ht="12.75">
      <c r="A73" s="41" t="s">
        <v>916</v>
      </c>
      <c r="B73" s="42">
        <v>34.721</v>
      </c>
      <c r="C73" s="43">
        <v>1650</v>
      </c>
      <c r="D73" s="43">
        <v>1620</v>
      </c>
      <c r="E73" s="43">
        <v>970</v>
      </c>
      <c r="F73" s="43">
        <v>2030</v>
      </c>
      <c r="G73" s="43">
        <v>1365</v>
      </c>
      <c r="H73" s="43">
        <v>1305</v>
      </c>
      <c r="I73" s="43">
        <v>1925</v>
      </c>
      <c r="J73" s="43">
        <v>2540</v>
      </c>
      <c r="K73" s="43">
        <v>3546</v>
      </c>
      <c r="L73" s="43">
        <v>8607</v>
      </c>
      <c r="Q73" s="2"/>
      <c r="R73" s="5"/>
    </row>
    <row r="74" spans="1:18" ht="12.75">
      <c r="A74" s="41" t="s">
        <v>917</v>
      </c>
      <c r="B74" s="42">
        <v>34.7212</v>
      </c>
      <c r="C74" s="43">
        <v>1295</v>
      </c>
      <c r="D74" s="43"/>
      <c r="E74" s="43">
        <v>597</v>
      </c>
      <c r="F74" s="43">
        <v>2759</v>
      </c>
      <c r="G74" s="43">
        <v>75</v>
      </c>
      <c r="H74" s="43"/>
      <c r="I74" s="43"/>
      <c r="J74" s="43"/>
      <c r="K74" s="43">
        <v>1050</v>
      </c>
      <c r="L74" s="43"/>
      <c r="Q74" s="2"/>
      <c r="R74" s="5"/>
    </row>
    <row r="75" spans="1:17" ht="12.75">
      <c r="A75" s="41" t="s">
        <v>918</v>
      </c>
      <c r="B75" s="42">
        <v>34.731</v>
      </c>
      <c r="C75" s="43">
        <v>2200</v>
      </c>
      <c r="D75" s="43">
        <v>4254</v>
      </c>
      <c r="E75" s="43">
        <v>4234</v>
      </c>
      <c r="F75" s="43">
        <v>2673</v>
      </c>
      <c r="G75" s="43">
        <v>3479</v>
      </c>
      <c r="H75" s="43">
        <v>3785</v>
      </c>
      <c r="I75" s="43">
        <v>5391</v>
      </c>
      <c r="J75" s="43">
        <v>6709</v>
      </c>
      <c r="K75" s="43">
        <v>7277</v>
      </c>
      <c r="L75" s="43">
        <v>6983</v>
      </c>
      <c r="Q75" s="2"/>
    </row>
    <row r="76" spans="1:18" ht="12.75" hidden="1">
      <c r="A76" s="41" t="s">
        <v>522</v>
      </c>
      <c r="B76" s="42">
        <v>34.7312</v>
      </c>
      <c r="C76" s="43"/>
      <c r="D76" s="43"/>
      <c r="E76" s="43"/>
      <c r="F76" s="43">
        <v>1708</v>
      </c>
      <c r="G76" s="43"/>
      <c r="H76" s="43"/>
      <c r="I76" s="43"/>
      <c r="J76" s="43"/>
      <c r="K76" s="43"/>
      <c r="L76" s="43"/>
      <c r="Q76" s="2"/>
      <c r="R76" s="5"/>
    </row>
    <row r="77" spans="1:18" ht="12.75">
      <c r="A77" s="45" t="s">
        <v>919</v>
      </c>
      <c r="B77" s="42">
        <v>34.7315</v>
      </c>
      <c r="C77" s="43"/>
      <c r="D77" s="43"/>
      <c r="E77" s="43"/>
      <c r="F77" s="43">
        <v>10185</v>
      </c>
      <c r="G77" s="43">
        <v>12638</v>
      </c>
      <c r="H77" s="43">
        <v>10915</v>
      </c>
      <c r="I77" s="43">
        <v>11235</v>
      </c>
      <c r="J77" s="43">
        <v>7804</v>
      </c>
      <c r="K77" s="43">
        <v>10904</v>
      </c>
      <c r="L77" s="43">
        <v>4360</v>
      </c>
      <c r="Q77" s="2"/>
      <c r="R77" s="5"/>
    </row>
    <row r="78" spans="1:18" ht="12.75">
      <c r="A78" s="45" t="s">
        <v>924</v>
      </c>
      <c r="B78" s="42">
        <v>34.7318</v>
      </c>
      <c r="C78" s="43"/>
      <c r="D78" s="43"/>
      <c r="E78" s="43"/>
      <c r="F78" s="43"/>
      <c r="G78" s="43"/>
      <c r="H78" s="43">
        <v>2750</v>
      </c>
      <c r="I78" s="43">
        <v>2072</v>
      </c>
      <c r="J78" s="43">
        <v>1709</v>
      </c>
      <c r="K78" s="43">
        <v>1366</v>
      </c>
      <c r="L78" s="43">
        <v>1050</v>
      </c>
      <c r="R78" s="5"/>
    </row>
    <row r="79" spans="1:12" ht="12.75" hidden="1">
      <c r="A79" s="41" t="s">
        <v>923</v>
      </c>
      <c r="B79" s="42">
        <v>34.732</v>
      </c>
      <c r="C79" s="43">
        <v>497</v>
      </c>
      <c r="D79" s="43"/>
      <c r="E79" s="43"/>
      <c r="F79" s="43">
        <v>728</v>
      </c>
      <c r="G79" s="43"/>
      <c r="H79" s="43">
        <v>125</v>
      </c>
      <c r="I79" s="43"/>
      <c r="J79" s="43"/>
      <c r="K79" s="43"/>
      <c r="L79" s="43"/>
    </row>
    <row r="80" spans="1:18" ht="12.75" hidden="1">
      <c r="A80" s="41" t="s">
        <v>922</v>
      </c>
      <c r="B80" s="42">
        <v>34.733</v>
      </c>
      <c r="C80" s="43" t="s">
        <v>127</v>
      </c>
      <c r="D80" s="43">
        <v>900</v>
      </c>
      <c r="E80" s="43">
        <v>2056</v>
      </c>
      <c r="F80" s="43">
        <v>2337</v>
      </c>
      <c r="G80" s="43">
        <v>187</v>
      </c>
      <c r="H80" s="43"/>
      <c r="I80" s="43">
        <v>400</v>
      </c>
      <c r="J80" s="43"/>
      <c r="K80" s="43"/>
      <c r="L80" s="43"/>
      <c r="R80" s="5"/>
    </row>
    <row r="81" spans="1:18" ht="12.75">
      <c r="A81" s="41" t="s">
        <v>921</v>
      </c>
      <c r="B81" s="42">
        <v>34.751</v>
      </c>
      <c r="C81" s="43">
        <v>10240</v>
      </c>
      <c r="D81" s="43">
        <v>10084</v>
      </c>
      <c r="E81" s="43">
        <v>1700</v>
      </c>
      <c r="F81" s="43">
        <v>9603</v>
      </c>
      <c r="G81" s="43">
        <v>10414</v>
      </c>
      <c r="H81" s="43">
        <v>11535</v>
      </c>
      <c r="I81" s="43">
        <v>8270</v>
      </c>
      <c r="J81" s="43">
        <v>10284</v>
      </c>
      <c r="K81" s="43">
        <v>10025</v>
      </c>
      <c r="L81" s="43">
        <v>8607</v>
      </c>
      <c r="R81" s="5"/>
    </row>
    <row r="82" spans="1:18" ht="12.75">
      <c r="A82" s="41" t="s">
        <v>920</v>
      </c>
      <c r="B82" s="42">
        <v>34.752</v>
      </c>
      <c r="C82" s="43">
        <v>3720</v>
      </c>
      <c r="D82" s="43">
        <v>3720</v>
      </c>
      <c r="E82" s="43">
        <v>3900</v>
      </c>
      <c r="F82" s="43">
        <v>4200</v>
      </c>
      <c r="G82" s="43">
        <v>3232</v>
      </c>
      <c r="H82" s="43">
        <v>3300</v>
      </c>
      <c r="I82" s="43">
        <v>3080</v>
      </c>
      <c r="J82" s="43">
        <v>2660</v>
      </c>
      <c r="K82" s="43">
        <v>2649</v>
      </c>
      <c r="L82" s="43">
        <v>2968</v>
      </c>
      <c r="R82" s="5"/>
    </row>
    <row r="83" spans="1:12" ht="12.75" hidden="1">
      <c r="A83" s="45" t="s">
        <v>537</v>
      </c>
      <c r="B83" s="42">
        <v>34.753</v>
      </c>
      <c r="C83" s="43"/>
      <c r="D83" s="43"/>
      <c r="E83" s="43">
        <v>7280</v>
      </c>
      <c r="F83" s="43"/>
      <c r="G83" s="43">
        <v>260</v>
      </c>
      <c r="H83" s="43"/>
      <c r="I83" s="43">
        <v>2797</v>
      </c>
      <c r="J83" s="43"/>
      <c r="K83" s="43"/>
      <c r="L83" s="43"/>
    </row>
    <row r="84" spans="1:14" ht="12.75">
      <c r="A84" s="41" t="s">
        <v>925</v>
      </c>
      <c r="B84" s="42">
        <v>34.754</v>
      </c>
      <c r="C84" s="43">
        <v>3184</v>
      </c>
      <c r="D84" s="43">
        <v>1846</v>
      </c>
      <c r="E84" s="43">
        <v>944</v>
      </c>
      <c r="F84" s="43">
        <v>1955</v>
      </c>
      <c r="G84" s="43">
        <v>2600</v>
      </c>
      <c r="H84" s="43">
        <v>2185</v>
      </c>
      <c r="I84" s="43"/>
      <c r="J84" s="43">
        <v>801</v>
      </c>
      <c r="K84" s="43">
        <v>1308</v>
      </c>
      <c r="L84" s="43">
        <v>1396</v>
      </c>
      <c r="M84" s="2"/>
      <c r="N84" s="2"/>
    </row>
    <row r="85" spans="1:18" ht="12.75">
      <c r="A85" s="41" t="s">
        <v>926</v>
      </c>
      <c r="B85" s="42">
        <v>34.791</v>
      </c>
      <c r="C85" s="43">
        <v>4236</v>
      </c>
      <c r="D85" s="43">
        <v>7396</v>
      </c>
      <c r="E85" s="43">
        <v>6413</v>
      </c>
      <c r="F85" s="43">
        <v>5837</v>
      </c>
      <c r="G85" s="43">
        <v>8102</v>
      </c>
      <c r="H85" s="43">
        <v>7101</v>
      </c>
      <c r="I85" s="43">
        <v>12177</v>
      </c>
      <c r="J85" s="43">
        <v>10166</v>
      </c>
      <c r="K85" s="43">
        <v>9118</v>
      </c>
      <c r="L85" s="43">
        <v>9981</v>
      </c>
      <c r="M85" s="2"/>
      <c r="N85" s="2"/>
      <c r="R85" s="5"/>
    </row>
    <row r="86" spans="1:18" ht="12.75">
      <c r="A86" s="41" t="s">
        <v>927</v>
      </c>
      <c r="B86" s="42">
        <v>34.792</v>
      </c>
      <c r="C86" s="43">
        <v>1739</v>
      </c>
      <c r="D86" s="43">
        <v>2200</v>
      </c>
      <c r="E86" s="43">
        <v>2330</v>
      </c>
      <c r="F86" s="43">
        <v>2525</v>
      </c>
      <c r="G86" s="43">
        <v>2300</v>
      </c>
      <c r="H86" s="43">
        <v>2050</v>
      </c>
      <c r="I86" s="43">
        <v>2072</v>
      </c>
      <c r="J86" s="43">
        <v>1185</v>
      </c>
      <c r="K86" s="43">
        <v>1655</v>
      </c>
      <c r="L86" s="43">
        <v>2542</v>
      </c>
      <c r="M86" s="2"/>
      <c r="N86" s="2"/>
      <c r="R86" s="5"/>
    </row>
    <row r="87" spans="1:12" ht="12.75">
      <c r="A87" s="41" t="s">
        <v>928</v>
      </c>
      <c r="B87" s="42">
        <v>34.793</v>
      </c>
      <c r="C87" s="43">
        <v>3590</v>
      </c>
      <c r="D87" s="43">
        <v>3650</v>
      </c>
      <c r="E87" s="43">
        <v>1850</v>
      </c>
      <c r="F87" s="43">
        <v>3650</v>
      </c>
      <c r="G87" s="43">
        <v>3830</v>
      </c>
      <c r="H87" s="43">
        <v>1900</v>
      </c>
      <c r="I87" s="43">
        <v>8019</v>
      </c>
      <c r="J87" s="43">
        <v>6592</v>
      </c>
      <c r="K87" s="43">
        <v>5857</v>
      </c>
      <c r="L87" s="43">
        <v>6341</v>
      </c>
    </row>
    <row r="88" spans="1:18" ht="12.75">
      <c r="A88" s="41" t="s">
        <v>937</v>
      </c>
      <c r="B88" s="42">
        <v>37.14</v>
      </c>
      <c r="C88" s="43">
        <v>536</v>
      </c>
      <c r="D88" s="22"/>
      <c r="E88" s="43"/>
      <c r="F88" s="43"/>
      <c r="G88" t="s">
        <v>690</v>
      </c>
      <c r="H88" s="43"/>
      <c r="I88" s="43"/>
      <c r="J88" s="43">
        <v>303</v>
      </c>
      <c r="K88" s="43">
        <v>2052</v>
      </c>
      <c r="L88" s="43"/>
      <c r="R88" s="5"/>
    </row>
    <row r="89" spans="9:12" ht="12.75">
      <c r="I89" s="2">
        <f>SUM(I73:I88)</f>
        <v>57438</v>
      </c>
      <c r="J89" s="2">
        <f>SUM(J73:J88)</f>
        <v>50753</v>
      </c>
      <c r="K89" s="2">
        <f>SUM(K73:K88)</f>
        <v>56807</v>
      </c>
      <c r="L89" s="2">
        <f>SUM(L73:L88)</f>
        <v>52835</v>
      </c>
    </row>
    <row r="90" ht="12.75">
      <c r="R90" s="5"/>
    </row>
    <row r="91" ht="12.75">
      <c r="R91" s="5"/>
    </row>
    <row r="93" ht="12.75">
      <c r="R93" s="5"/>
    </row>
    <row r="94" ht="12.75">
      <c r="R94" s="5"/>
    </row>
    <row r="99" ht="12.75">
      <c r="R99" s="5"/>
    </row>
    <row r="100" ht="12.75">
      <c r="R100" s="5"/>
    </row>
    <row r="104" ht="12.75">
      <c r="R104" s="5"/>
    </row>
    <row r="106" ht="12.75">
      <c r="R106" s="5"/>
    </row>
  </sheetData>
  <sheetProtection/>
  <printOptions gridLines="1"/>
  <pageMargins left="0.25" right="0.25" top="1" bottom="0.55" header="0.5" footer="0.25"/>
  <pageSetup fitToHeight="2" fitToWidth="1" horizontalDpi="300" verticalDpi="300" orientation="landscape" scale="72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71"/>
  <sheetViews>
    <sheetView zoomScale="75" zoomScaleNormal="75" workbookViewId="0" topLeftCell="A1">
      <selection activeCell="W18" sqref="W1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8" width="10.8515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481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 t="s">
        <v>110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109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308</v>
      </c>
      <c r="B7" s="4">
        <v>57.213</v>
      </c>
      <c r="C7" s="2">
        <v>15000</v>
      </c>
      <c r="D7" s="2">
        <v>15000</v>
      </c>
      <c r="E7" s="2">
        <v>15000</v>
      </c>
      <c r="F7" s="2">
        <v>15000</v>
      </c>
      <c r="G7" s="2">
        <v>17500</v>
      </c>
      <c r="H7" s="2">
        <v>15000</v>
      </c>
      <c r="I7" s="2">
        <v>15000</v>
      </c>
      <c r="J7" s="2">
        <v>15000</v>
      </c>
      <c r="K7" s="2">
        <v>17500</v>
      </c>
      <c r="L7" s="2">
        <v>15000</v>
      </c>
      <c r="M7" s="2">
        <v>12983</v>
      </c>
      <c r="N7" s="2">
        <v>17100</v>
      </c>
      <c r="O7" s="2">
        <v>17100</v>
      </c>
      <c r="P7" s="2">
        <v>20000</v>
      </c>
      <c r="Q7" s="2">
        <v>17100</v>
      </c>
      <c r="R7" s="2">
        <v>15000</v>
      </c>
      <c r="S7" s="92">
        <f>(R7-O7)/O7</f>
        <v>-0.12280701754385964</v>
      </c>
    </row>
    <row r="8" spans="2:19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  <c r="O8" s="5"/>
      <c r="P8" s="5"/>
      <c r="Q8" s="2"/>
      <c r="R8" s="2"/>
      <c r="S8" s="52"/>
    </row>
    <row r="9" spans="2:19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2"/>
    </row>
    <row r="10" spans="1:19" ht="12.75">
      <c r="A10" s="6" t="s">
        <v>116</v>
      </c>
      <c r="B10" s="6"/>
      <c r="C10" s="7">
        <f aca="true" t="shared" si="0" ref="C10:I10">SUM(C7:C9)</f>
        <v>15000</v>
      </c>
      <c r="D10" s="8">
        <f t="shared" si="0"/>
        <v>15000</v>
      </c>
      <c r="E10" s="8">
        <f t="shared" si="0"/>
        <v>15000</v>
      </c>
      <c r="F10" s="8">
        <f t="shared" si="0"/>
        <v>15000</v>
      </c>
      <c r="G10" s="8">
        <f t="shared" si="0"/>
        <v>17500</v>
      </c>
      <c r="H10" s="8">
        <f t="shared" si="0"/>
        <v>15000</v>
      </c>
      <c r="I10" s="8">
        <f t="shared" si="0"/>
        <v>15000</v>
      </c>
      <c r="J10" s="8">
        <v>15000</v>
      </c>
      <c r="K10" s="8">
        <f aca="true" t="shared" si="1" ref="K10:R10">SUM(K7:K9)</f>
        <v>17500</v>
      </c>
      <c r="L10" s="8">
        <v>15000</v>
      </c>
      <c r="M10" s="8">
        <f t="shared" si="1"/>
        <v>12983</v>
      </c>
      <c r="N10" s="8">
        <f t="shared" si="1"/>
        <v>17100</v>
      </c>
      <c r="O10" s="8">
        <f t="shared" si="1"/>
        <v>17100</v>
      </c>
      <c r="P10" s="8">
        <f t="shared" si="1"/>
        <v>20000</v>
      </c>
      <c r="Q10" s="8">
        <f t="shared" si="1"/>
        <v>17100</v>
      </c>
      <c r="R10" s="8">
        <f t="shared" si="1"/>
        <v>15000</v>
      </c>
      <c r="S10" s="53">
        <f>(R10-O10)/O10</f>
        <v>-0.12280701754385964</v>
      </c>
    </row>
    <row r="11" ht="12.75">
      <c r="S11" s="52"/>
    </row>
    <row r="12" spans="15:19" ht="12.75">
      <c r="O12" s="22" t="s">
        <v>488</v>
      </c>
      <c r="P12" s="22"/>
      <c r="Q12" s="56">
        <f>P10-Q10</f>
        <v>2900</v>
      </c>
      <c r="S12" s="52"/>
    </row>
    <row r="13" spans="15:19" ht="12.75">
      <c r="O13" s="22" t="s">
        <v>761</v>
      </c>
      <c r="P13" s="22"/>
      <c r="Q13" s="56">
        <f>O10-Q10</f>
        <v>0</v>
      </c>
      <c r="S13" s="52"/>
    </row>
    <row r="14" spans="15:19" ht="12.75">
      <c r="O14" s="22" t="s">
        <v>436</v>
      </c>
      <c r="P14" s="22"/>
      <c r="Q14" s="56">
        <f>Q10-R10</f>
        <v>2100</v>
      </c>
      <c r="S14" s="52"/>
    </row>
    <row r="15" spans="1:19" ht="12.75">
      <c r="A15" t="s">
        <v>997</v>
      </c>
      <c r="S15" s="52"/>
    </row>
    <row r="16" spans="1:19" ht="12.75">
      <c r="A16" s="46"/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52" ht="12.75">
      <c r="S52" s="52"/>
    </row>
    <row r="53" ht="12.75">
      <c r="S53" s="5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6" ht="12.75">
      <c r="S66" s="2"/>
    </row>
    <row r="67" ht="12.75">
      <c r="S67" s="2"/>
    </row>
    <row r="68" ht="12.75">
      <c r="S68" s="2"/>
    </row>
    <row r="69" ht="12.75">
      <c r="S69" s="2"/>
    </row>
    <row r="70" ht="12.75">
      <c r="S70" s="2"/>
    </row>
    <row r="71" ht="12.75">
      <c r="S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T65"/>
  <sheetViews>
    <sheetView zoomScale="75" zoomScaleNormal="75" workbookViewId="0" topLeftCell="A1">
      <selection activeCell="Q42" sqref="Q42"/>
    </sheetView>
  </sheetViews>
  <sheetFormatPr defaultColWidth="9.140625" defaultRowHeight="12.75"/>
  <cols>
    <col min="1" max="1" width="34.00390625" style="0" customWidth="1"/>
    <col min="2" max="2" width="7.421875" style="0" customWidth="1"/>
    <col min="3" max="3" width="10.8515625" style="0" hidden="1" customWidth="1"/>
    <col min="4" max="4" width="8.00390625" style="0" hidden="1" customWidth="1"/>
    <col min="5" max="5" width="7.57421875" style="0" hidden="1" customWidth="1"/>
    <col min="6" max="6" width="8.00390625" style="0" hidden="1" customWidth="1"/>
    <col min="7" max="9" width="11.7109375" style="0" hidden="1" customWidth="1"/>
    <col min="10" max="13" width="11.7109375" style="0" customWidth="1"/>
    <col min="14" max="14" width="13.421875" style="0" bestFit="1" customWidth="1"/>
    <col min="15" max="15" width="11.7109375" style="0" customWidth="1"/>
    <col min="17" max="17" width="10.7109375" style="0" bestFit="1" customWidth="1"/>
    <col min="18" max="18" width="10.8515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482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 t="s">
        <v>110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/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712</v>
      </c>
      <c r="B7" s="4">
        <v>52.124</v>
      </c>
      <c r="C7" s="2"/>
      <c r="D7" s="2"/>
      <c r="E7" s="2">
        <v>4240</v>
      </c>
      <c r="F7" s="2">
        <v>5330</v>
      </c>
      <c r="G7" s="2">
        <v>3920</v>
      </c>
      <c r="H7" s="2"/>
      <c r="I7" s="2">
        <v>8602</v>
      </c>
      <c r="J7" s="2">
        <v>3600</v>
      </c>
      <c r="K7" s="2"/>
      <c r="L7" s="2"/>
      <c r="M7" s="2"/>
      <c r="N7" s="2"/>
      <c r="O7" s="2"/>
      <c r="P7" s="2"/>
      <c r="Q7" s="2"/>
      <c r="R7" s="2"/>
      <c r="S7" s="92" t="e">
        <f>(R7-O7)/O7</f>
        <v>#DIV/0!</v>
      </c>
      <c r="T7" t="s">
        <v>515</v>
      </c>
    </row>
    <row r="8" spans="1:19" ht="12.75">
      <c r="A8" t="s">
        <v>755</v>
      </c>
      <c r="B8" s="4">
        <v>52.1313</v>
      </c>
      <c r="C8" s="2"/>
      <c r="D8" s="2"/>
      <c r="E8" s="2"/>
      <c r="F8" s="2"/>
      <c r="G8" s="2"/>
      <c r="H8" s="2"/>
      <c r="I8" s="2"/>
      <c r="J8" s="2">
        <v>2325</v>
      </c>
      <c r="K8" s="2">
        <v>3950</v>
      </c>
      <c r="L8" s="2"/>
      <c r="M8" s="2"/>
      <c r="N8" s="2"/>
      <c r="O8" s="2"/>
      <c r="P8" s="2"/>
      <c r="Q8" s="2"/>
      <c r="R8" s="2"/>
      <c r="S8" s="92"/>
    </row>
    <row r="9" spans="1:19" ht="12.75">
      <c r="A9" t="s">
        <v>756</v>
      </c>
      <c r="B9" s="4">
        <v>52.1323</v>
      </c>
      <c r="C9" s="2"/>
      <c r="D9" s="2"/>
      <c r="E9" s="2"/>
      <c r="F9" s="2"/>
      <c r="G9" s="2"/>
      <c r="H9" s="2"/>
      <c r="I9" s="2"/>
      <c r="J9" s="2">
        <v>21132</v>
      </c>
      <c r="K9" s="2"/>
      <c r="L9" s="2"/>
      <c r="M9" s="2"/>
      <c r="N9" s="2"/>
      <c r="O9" s="2"/>
      <c r="P9" s="2"/>
      <c r="Q9" s="2"/>
      <c r="R9" s="2"/>
      <c r="S9" s="92"/>
    </row>
    <row r="10" spans="1:19" ht="12.75">
      <c r="A10" t="s">
        <v>806</v>
      </c>
      <c r="B10" s="4"/>
      <c r="C10" s="2"/>
      <c r="D10" s="2"/>
      <c r="E10" s="2"/>
      <c r="F10" s="2"/>
      <c r="G10" s="2"/>
      <c r="H10" s="2"/>
      <c r="I10" s="2"/>
      <c r="J10" s="2">
        <v>14975</v>
      </c>
      <c r="K10" s="2"/>
      <c r="L10" s="2"/>
      <c r="M10" s="2"/>
      <c r="N10" s="2"/>
      <c r="O10" s="2"/>
      <c r="P10" s="2"/>
      <c r="Q10" s="2"/>
      <c r="R10" s="2"/>
      <c r="S10" s="92"/>
    </row>
    <row r="11" spans="1:19" ht="12.75">
      <c r="A11" t="s">
        <v>260</v>
      </c>
      <c r="B11" s="4">
        <v>53.172</v>
      </c>
      <c r="C11" s="2">
        <v>709</v>
      </c>
      <c r="D11" s="2">
        <v>463</v>
      </c>
      <c r="E11" s="2">
        <v>2679</v>
      </c>
      <c r="F11" s="2">
        <v>2198</v>
      </c>
      <c r="G11" s="2"/>
      <c r="H11" s="2"/>
      <c r="I11" s="2">
        <v>6402</v>
      </c>
      <c r="J11" s="2"/>
      <c r="K11" s="2"/>
      <c r="L11" s="2">
        <v>1400</v>
      </c>
      <c r="M11" s="2"/>
      <c r="N11" s="2">
        <f>+M11/$M$3*12</f>
        <v>0</v>
      </c>
      <c r="O11" s="2"/>
      <c r="P11" s="2"/>
      <c r="Q11" s="2"/>
      <c r="R11" s="2"/>
      <c r="S11" s="92"/>
    </row>
    <row r="12" spans="1:19" ht="12.75">
      <c r="A12" t="s">
        <v>778</v>
      </c>
      <c r="B12" s="4"/>
      <c r="C12" s="2"/>
      <c r="D12" s="2"/>
      <c r="E12" s="2"/>
      <c r="F12" s="2"/>
      <c r="G12" s="2"/>
      <c r="H12" s="2"/>
      <c r="I12" s="2"/>
      <c r="J12" s="2">
        <v>20000</v>
      </c>
      <c r="K12" s="2"/>
      <c r="L12" s="2"/>
      <c r="M12" s="2"/>
      <c r="N12" s="2"/>
      <c r="O12" s="2"/>
      <c r="P12" s="2"/>
      <c r="Q12" s="2"/>
      <c r="R12" s="2"/>
      <c r="S12" s="92"/>
    </row>
    <row r="13" spans="1:20" ht="12.75">
      <c r="A13" t="s">
        <v>310</v>
      </c>
      <c r="B13" s="4">
        <v>57.104</v>
      </c>
      <c r="C13" s="2">
        <v>80000</v>
      </c>
      <c r="D13" s="2">
        <v>82200</v>
      </c>
      <c r="E13" s="2">
        <v>87500</v>
      </c>
      <c r="F13" s="2">
        <v>87500</v>
      </c>
      <c r="G13" s="2">
        <v>90000</v>
      </c>
      <c r="H13" s="2">
        <v>67500</v>
      </c>
      <c r="I13" s="2">
        <v>90000</v>
      </c>
      <c r="J13" s="2">
        <v>90000</v>
      </c>
      <c r="K13" s="2">
        <v>90000</v>
      </c>
      <c r="L13" s="2">
        <v>90000</v>
      </c>
      <c r="M13" s="2">
        <v>81000</v>
      </c>
      <c r="N13" s="2">
        <v>81000</v>
      </c>
      <c r="O13" s="2">
        <v>81000</v>
      </c>
      <c r="P13" s="2">
        <v>81000</v>
      </c>
      <c r="Q13" s="2">
        <v>81000</v>
      </c>
      <c r="R13" s="2">
        <v>81000</v>
      </c>
      <c r="S13" s="92">
        <f>(R13-O13)/O13</f>
        <v>0</v>
      </c>
      <c r="T13" t="s">
        <v>371</v>
      </c>
    </row>
    <row r="14" spans="1:19" ht="12.75" hidden="1">
      <c r="A14" t="s">
        <v>689</v>
      </c>
      <c r="B14" s="4"/>
      <c r="C14" s="2"/>
      <c r="D14" s="2"/>
      <c r="E14" s="2"/>
      <c r="F14" s="2"/>
      <c r="G14" s="2"/>
      <c r="H14" s="2"/>
      <c r="I14" s="2">
        <v>22500</v>
      </c>
      <c r="J14" s="2"/>
      <c r="K14" s="2"/>
      <c r="L14" s="2"/>
      <c r="M14" s="2"/>
      <c r="N14" s="2"/>
      <c r="O14" s="2"/>
      <c r="P14" s="2"/>
      <c r="Q14" s="2"/>
      <c r="R14" s="2"/>
      <c r="S14" s="92"/>
    </row>
    <row r="15" spans="1:20" ht="12.75" hidden="1">
      <c r="A15" t="s">
        <v>823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2"/>
      <c r="T15" s="33" t="s">
        <v>514</v>
      </c>
    </row>
    <row r="16" spans="1:20" ht="12.75">
      <c r="A16" t="s">
        <v>799</v>
      </c>
      <c r="B16" s="4"/>
      <c r="C16" s="2"/>
      <c r="D16" s="2"/>
      <c r="E16" s="2"/>
      <c r="F16" s="2"/>
      <c r="G16" s="2"/>
      <c r="H16" s="2"/>
      <c r="I16" s="2"/>
      <c r="J16" s="2"/>
      <c r="K16" s="2">
        <v>539582</v>
      </c>
      <c r="L16" s="2"/>
      <c r="M16" s="2"/>
      <c r="N16" s="2"/>
      <c r="O16" s="2"/>
      <c r="P16" s="2"/>
      <c r="Q16" s="2"/>
      <c r="R16" s="2"/>
      <c r="S16" s="92"/>
      <c r="T16" s="33" t="s">
        <v>514</v>
      </c>
    </row>
    <row r="17" spans="1:20" ht="12.75" hidden="1">
      <c r="A17" t="s">
        <v>725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  <c r="T17" s="33" t="s">
        <v>514</v>
      </c>
    </row>
    <row r="18" spans="1:20" ht="12.75">
      <c r="A18" t="s">
        <v>976</v>
      </c>
      <c r="B18" s="4">
        <v>54.1009</v>
      </c>
      <c r="C18" s="2"/>
      <c r="D18" s="2"/>
      <c r="E18" s="2"/>
      <c r="F18" s="2"/>
      <c r="G18" s="2"/>
      <c r="H18" s="2"/>
      <c r="I18" s="2"/>
      <c r="J18" s="2"/>
      <c r="K18" s="2"/>
      <c r="L18" s="2">
        <v>10000</v>
      </c>
      <c r="M18" s="2"/>
      <c r="N18" s="2"/>
      <c r="O18" s="2"/>
      <c r="P18" s="2"/>
      <c r="Q18" s="2"/>
      <c r="R18" s="2"/>
      <c r="S18" s="92"/>
      <c r="T18" s="33" t="s">
        <v>514</v>
      </c>
    </row>
    <row r="19" spans="2:19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2"/>
    </row>
    <row r="20" spans="2:19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  <c r="N20" s="2"/>
      <c r="O20" s="5"/>
      <c r="P20" s="5"/>
      <c r="Q20" s="5"/>
      <c r="R20" s="5"/>
      <c r="S20" s="52"/>
    </row>
    <row r="21" spans="1:19" ht="12.75">
      <c r="A21" s="6" t="s">
        <v>116</v>
      </c>
      <c r="B21" s="6"/>
      <c r="C21" s="7">
        <f aca="true" t="shared" si="0" ref="C21:H21">SUM(C7:C20)</f>
        <v>80709</v>
      </c>
      <c r="D21" s="8">
        <f t="shared" si="0"/>
        <v>82663</v>
      </c>
      <c r="E21" s="8">
        <f t="shared" si="0"/>
        <v>94419</v>
      </c>
      <c r="F21" s="8">
        <f t="shared" si="0"/>
        <v>95028</v>
      </c>
      <c r="G21" s="8">
        <f t="shared" si="0"/>
        <v>93920</v>
      </c>
      <c r="H21" s="8">
        <f t="shared" si="0"/>
        <v>67500</v>
      </c>
      <c r="I21" s="8">
        <f>SUM(I7:I20)</f>
        <v>127504</v>
      </c>
      <c r="J21" s="8">
        <v>158927</v>
      </c>
      <c r="K21" s="8">
        <f aca="true" t="shared" si="1" ref="K21:R21">SUM(K7:K20)</f>
        <v>633532</v>
      </c>
      <c r="L21" s="8">
        <v>101400</v>
      </c>
      <c r="M21" s="8">
        <f t="shared" si="1"/>
        <v>81000</v>
      </c>
      <c r="N21" s="8">
        <f t="shared" si="1"/>
        <v>81000</v>
      </c>
      <c r="O21" s="8">
        <f t="shared" si="1"/>
        <v>81000</v>
      </c>
      <c r="P21" s="8">
        <f t="shared" si="1"/>
        <v>81000</v>
      </c>
      <c r="Q21" s="8">
        <f t="shared" si="1"/>
        <v>81000</v>
      </c>
      <c r="R21" s="8">
        <f t="shared" si="1"/>
        <v>81000</v>
      </c>
      <c r="S21" s="53">
        <f>(R21-O21)/O21</f>
        <v>0</v>
      </c>
    </row>
    <row r="22" ht="12.75">
      <c r="S22" s="52"/>
    </row>
    <row r="23" spans="2:19" ht="12.75">
      <c r="B23" s="4"/>
      <c r="O23" s="22" t="s">
        <v>488</v>
      </c>
      <c r="P23" s="22"/>
      <c r="Q23" s="56">
        <f>P21-Q21</f>
        <v>0</v>
      </c>
      <c r="S23" s="52"/>
    </row>
    <row r="24" spans="1:19" ht="12.75">
      <c r="A24" s="16"/>
      <c r="O24" s="22" t="s">
        <v>761</v>
      </c>
      <c r="P24" s="22"/>
      <c r="Q24" s="56">
        <f>O21-Q21</f>
        <v>0</v>
      </c>
      <c r="S24" s="52"/>
    </row>
    <row r="25" spans="1:19" ht="12.75">
      <c r="A25" s="16"/>
      <c r="O25" s="22" t="s">
        <v>436</v>
      </c>
      <c r="P25" s="22"/>
      <c r="Q25" s="56">
        <f>Q21-R21</f>
        <v>0</v>
      </c>
      <c r="S25" s="52"/>
    </row>
    <row r="26" spans="1:19" ht="12.75">
      <c r="A26" s="14" t="s">
        <v>517</v>
      </c>
      <c r="B26" t="s">
        <v>542</v>
      </c>
      <c r="S26" s="52"/>
    </row>
    <row r="27" spans="1:19" ht="12.75">
      <c r="A27" s="14" t="s">
        <v>650</v>
      </c>
      <c r="B27" t="s">
        <v>969</v>
      </c>
      <c r="S27" s="52"/>
    </row>
    <row r="28" spans="1:19" ht="12.75">
      <c r="A28" t="s">
        <v>21</v>
      </c>
      <c r="S28" s="52"/>
    </row>
    <row r="29" spans="1:19" ht="12.75">
      <c r="A29" s="6"/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ht="12.75">
      <c r="S60" s="2"/>
    </row>
    <row r="61" ht="12.75">
      <c r="S61" s="2"/>
    </row>
    <row r="62" ht="12.75">
      <c r="S62" s="2"/>
    </row>
    <row r="63" ht="12.75">
      <c r="S63" s="2"/>
    </row>
    <row r="64" ht="12.75">
      <c r="S64" s="2"/>
    </row>
    <row r="65" ht="12.75">
      <c r="S65" s="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06"/>
  <sheetViews>
    <sheetView zoomScale="75" zoomScaleNormal="75" workbookViewId="0" topLeftCell="A3">
      <pane ySplit="960" topLeftCell="BM1" activePane="bottomLeft" state="split"/>
      <selection pane="topLeft" activeCell="V3" sqref="V1:Z16384"/>
      <selection pane="bottomLeft" activeCell="U27" sqref="U27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8.57421875" style="22" hidden="1" customWidth="1"/>
    <col min="4" max="4" width="7.57421875" style="22" hidden="1" customWidth="1"/>
    <col min="5" max="5" width="8.00390625" style="22" hidden="1" customWidth="1"/>
    <col min="6" max="9" width="9.140625" style="22" hidden="1" customWidth="1"/>
    <col min="10" max="12" width="9.140625" style="22" customWidth="1"/>
    <col min="13" max="13" width="8.28125" style="22" customWidth="1"/>
    <col min="14" max="14" width="9.140625" style="22" bestFit="1" customWidth="1"/>
    <col min="15" max="15" width="10.8515625" style="22" customWidth="1"/>
    <col min="16" max="16" width="8.7109375" style="22" bestFit="1" customWidth="1"/>
    <col min="17" max="17" width="10.28125" style="22" bestFit="1" customWidth="1"/>
    <col min="18" max="18" width="9.140625" style="22" bestFit="1" customWidth="1"/>
    <col min="19" max="19" width="10.140625" style="22" bestFit="1" customWidth="1"/>
    <col min="20" max="20" width="11.7109375" style="22" customWidth="1"/>
    <col min="21" max="16384" width="9.140625" style="22" customWidth="1"/>
  </cols>
  <sheetData>
    <row r="1" spans="1:2" ht="12.75">
      <c r="A1" s="22" t="s">
        <v>106</v>
      </c>
      <c r="B1"/>
    </row>
    <row r="2" ht="12.75">
      <c r="A2" s="22" t="s">
        <v>107</v>
      </c>
    </row>
    <row r="3" spans="1:19" ht="12.75">
      <c r="A3" s="46" t="s">
        <v>428</v>
      </c>
      <c r="F3" s="26"/>
      <c r="G3" s="26"/>
      <c r="H3" s="26"/>
      <c r="I3" s="26"/>
      <c r="J3" s="26"/>
      <c r="K3" s="26"/>
      <c r="L3" s="26"/>
      <c r="M3" s="51">
        <v>6</v>
      </c>
      <c r="S3" s="26" t="s">
        <v>354</v>
      </c>
    </row>
    <row r="4" spans="3:19" ht="12.75">
      <c r="C4" s="26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434</v>
      </c>
      <c r="O4" s="26"/>
      <c r="P4" s="26" t="s">
        <v>429</v>
      </c>
      <c r="Q4" s="26" t="s">
        <v>431</v>
      </c>
      <c r="R4" s="26" t="s">
        <v>432</v>
      </c>
      <c r="S4" s="26" t="s">
        <v>426</v>
      </c>
    </row>
    <row r="5" spans="3:19" ht="12.75">
      <c r="C5" s="26" t="s">
        <v>425</v>
      </c>
      <c r="D5" s="26" t="s">
        <v>425</v>
      </c>
      <c r="E5" s="26" t="s">
        <v>425</v>
      </c>
      <c r="F5" s="26" t="s">
        <v>425</v>
      </c>
      <c r="G5" s="26" t="s">
        <v>425</v>
      </c>
      <c r="H5" s="26" t="s">
        <v>425</v>
      </c>
      <c r="I5" s="26" t="s">
        <v>425</v>
      </c>
      <c r="J5" s="26" t="s">
        <v>425</v>
      </c>
      <c r="K5" s="26" t="s">
        <v>425</v>
      </c>
      <c r="L5" s="26" t="s">
        <v>425</v>
      </c>
      <c r="M5" s="26" t="s">
        <v>425</v>
      </c>
      <c r="N5" s="26" t="s">
        <v>435</v>
      </c>
      <c r="O5" s="26" t="s">
        <v>354</v>
      </c>
      <c r="P5" s="26" t="s">
        <v>430</v>
      </c>
      <c r="Q5" s="26" t="s">
        <v>691</v>
      </c>
      <c r="R5" s="26" t="s">
        <v>421</v>
      </c>
      <c r="S5" s="26" t="s">
        <v>427</v>
      </c>
    </row>
    <row r="6" spans="1:20" ht="12.75">
      <c r="A6" s="22" t="s">
        <v>118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54</v>
      </c>
      <c r="T6" s="23" t="s">
        <v>115</v>
      </c>
    </row>
    <row r="7" spans="1:21" ht="12.75">
      <c r="A7" s="22" t="s">
        <v>686</v>
      </c>
      <c r="B7" s="49">
        <v>51.11</v>
      </c>
      <c r="C7" s="31">
        <v>13754</v>
      </c>
      <c r="D7" s="31">
        <v>16623</v>
      </c>
      <c r="E7" s="31">
        <v>14704</v>
      </c>
      <c r="F7" s="31">
        <v>17261</v>
      </c>
      <c r="G7" s="31">
        <v>15722</v>
      </c>
      <c r="H7" s="31">
        <v>17906</v>
      </c>
      <c r="I7" s="31">
        <v>16941</v>
      </c>
      <c r="J7" s="31">
        <v>17243</v>
      </c>
      <c r="K7" s="31">
        <v>12729.96</v>
      </c>
      <c r="L7" s="31">
        <v>10399.17</v>
      </c>
      <c r="M7" s="2">
        <v>4582.71</v>
      </c>
      <c r="N7" s="31">
        <v>8977</v>
      </c>
      <c r="O7" s="31">
        <v>8977</v>
      </c>
      <c r="P7" s="31">
        <v>10399</v>
      </c>
      <c r="Q7" s="31">
        <v>8977</v>
      </c>
      <c r="R7" s="31">
        <v>8977</v>
      </c>
      <c r="S7" s="52">
        <f>(R7-O7)/O7</f>
        <v>0</v>
      </c>
      <c r="T7" s="22" t="s">
        <v>376</v>
      </c>
      <c r="U7" s="46"/>
    </row>
    <row r="8" spans="1:19" ht="12.75" hidden="1">
      <c r="A8" s="22" t="s">
        <v>727</v>
      </c>
      <c r="B8" s="49"/>
      <c r="C8" s="31"/>
      <c r="D8" s="31"/>
      <c r="E8" s="31"/>
      <c r="F8" s="31"/>
      <c r="G8" s="31"/>
      <c r="H8" s="31"/>
      <c r="I8" s="31">
        <v>114672</v>
      </c>
      <c r="J8" s="31"/>
      <c r="K8" s="31"/>
      <c r="L8" s="31"/>
      <c r="M8" s="31"/>
      <c r="N8" s="31"/>
      <c r="O8" s="31"/>
      <c r="P8" s="31"/>
      <c r="Q8" s="31"/>
      <c r="R8" s="31"/>
      <c r="S8" s="52"/>
    </row>
    <row r="9" spans="1:19" ht="12.75" hidden="1">
      <c r="A9" s="22" t="s">
        <v>397</v>
      </c>
      <c r="B9" s="49">
        <v>51.113</v>
      </c>
      <c r="C9" s="31"/>
      <c r="D9" s="31"/>
      <c r="E9" s="31"/>
      <c r="F9" s="31">
        <v>7219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52"/>
    </row>
    <row r="10" spans="1:19" ht="12.75" hidden="1">
      <c r="A10" s="22" t="s">
        <v>399</v>
      </c>
      <c r="B10" s="49">
        <v>51.12</v>
      </c>
      <c r="C10" s="31"/>
      <c r="D10" s="31">
        <v>749</v>
      </c>
      <c r="E10" s="31"/>
      <c r="F10" s="31">
        <v>4490</v>
      </c>
      <c r="G10" s="31">
        <v>4235</v>
      </c>
      <c r="H10" s="31">
        <v>3692</v>
      </c>
      <c r="I10" s="31">
        <v>11</v>
      </c>
      <c r="J10" s="31"/>
      <c r="K10" s="31"/>
      <c r="L10" s="31">
        <v>0</v>
      </c>
      <c r="M10" s="31"/>
      <c r="N10" s="31"/>
      <c r="O10" s="31"/>
      <c r="P10" s="31"/>
      <c r="Q10" s="31"/>
      <c r="R10" s="31"/>
      <c r="S10" s="52"/>
    </row>
    <row r="11" spans="1:20" ht="12.75">
      <c r="A11" s="22" t="s">
        <v>159</v>
      </c>
      <c r="B11" s="49">
        <v>51.21</v>
      </c>
      <c r="C11" s="31">
        <v>1879</v>
      </c>
      <c r="D11" s="31">
        <v>2500</v>
      </c>
      <c r="E11" s="31">
        <v>3160</v>
      </c>
      <c r="F11" s="31">
        <v>5106</v>
      </c>
      <c r="G11" s="31">
        <v>3301</v>
      </c>
      <c r="H11" s="31">
        <v>3163</v>
      </c>
      <c r="I11" s="31">
        <v>7492</v>
      </c>
      <c r="J11" s="31">
        <v>3454</v>
      </c>
      <c r="K11" s="31">
        <v>2710</v>
      </c>
      <c r="L11" s="31">
        <f>2400+100</f>
        <v>2500</v>
      </c>
      <c r="M11" s="31"/>
      <c r="N11" s="31"/>
      <c r="O11" s="31"/>
      <c r="P11" s="31"/>
      <c r="Q11" s="31"/>
      <c r="R11" s="31"/>
      <c r="S11" s="52"/>
      <c r="T11" s="2"/>
    </row>
    <row r="12" spans="1:20" ht="12.75">
      <c r="A12" s="22" t="s">
        <v>355</v>
      </c>
      <c r="B12" s="49">
        <v>51.211</v>
      </c>
      <c r="C12" s="31"/>
      <c r="D12" s="31"/>
      <c r="E12" s="31"/>
      <c r="F12" s="31">
        <v>26200</v>
      </c>
      <c r="G12" s="31">
        <v>30200</v>
      </c>
      <c r="H12" s="31">
        <v>36350</v>
      </c>
      <c r="I12" s="31">
        <v>32600</v>
      </c>
      <c r="J12" s="31">
        <v>36500</v>
      </c>
      <c r="K12" s="31">
        <v>31700</v>
      </c>
      <c r="L12" s="31">
        <v>27400</v>
      </c>
      <c r="M12" s="2">
        <v>15200</v>
      </c>
      <c r="N12" s="31">
        <v>31000</v>
      </c>
      <c r="O12" s="31">
        <v>38880</v>
      </c>
      <c r="P12" s="31">
        <f>31000*1.08</f>
        <v>33480</v>
      </c>
      <c r="Q12" s="31">
        <v>33480</v>
      </c>
      <c r="R12" s="31">
        <v>33480</v>
      </c>
      <c r="S12" s="52">
        <f>(R12-O12)/O12</f>
        <v>-0.1388888888888889</v>
      </c>
      <c r="T12" t="s">
        <v>822</v>
      </c>
    </row>
    <row r="13" spans="1:20" ht="12.75">
      <c r="A13" s="22" t="s">
        <v>139</v>
      </c>
      <c r="B13" s="49">
        <v>51.22</v>
      </c>
      <c r="C13" s="31">
        <v>1052</v>
      </c>
      <c r="D13" s="31">
        <v>1329</v>
      </c>
      <c r="E13" s="31">
        <v>1124</v>
      </c>
      <c r="F13" s="31">
        <v>1677</v>
      </c>
      <c r="G13" s="31">
        <v>3775</v>
      </c>
      <c r="H13" s="31">
        <v>1652</v>
      </c>
      <c r="I13" s="31">
        <v>10064</v>
      </c>
      <c r="J13" s="31">
        <v>1319</v>
      </c>
      <c r="K13" s="31">
        <v>974</v>
      </c>
      <c r="L13" s="31">
        <v>795.35</v>
      </c>
      <c r="M13" s="31">
        <v>350.57</v>
      </c>
      <c r="N13" s="31">
        <f>0.0765*N7</f>
        <v>686.7405</v>
      </c>
      <c r="O13" s="31">
        <v>763</v>
      </c>
      <c r="P13" s="31">
        <f>0.0765*P7</f>
        <v>795.5235</v>
      </c>
      <c r="Q13" s="31">
        <f>0.0765*Q7</f>
        <v>686.7405</v>
      </c>
      <c r="R13" s="31">
        <f>0.0765*R7</f>
        <v>686.7405</v>
      </c>
      <c r="S13" s="52">
        <f>(R13-O13)/O13</f>
        <v>-0.09994692005242464</v>
      </c>
      <c r="T13" s="46"/>
    </row>
    <row r="14" spans="1:20" ht="12.75">
      <c r="A14" s="22" t="s">
        <v>166</v>
      </c>
      <c r="B14" s="49">
        <v>51.26</v>
      </c>
      <c r="C14" s="31">
        <v>7518</v>
      </c>
      <c r="D14" s="31">
        <v>4761</v>
      </c>
      <c r="E14" s="31">
        <v>16816</v>
      </c>
      <c r="F14" s="31">
        <v>4860</v>
      </c>
      <c r="G14" s="31">
        <v>6769</v>
      </c>
      <c r="H14" s="31">
        <v>4233</v>
      </c>
      <c r="I14" s="31">
        <v>1631</v>
      </c>
      <c r="J14" s="31">
        <v>6842</v>
      </c>
      <c r="K14" s="31">
        <f>10393+4480</f>
        <v>14873</v>
      </c>
      <c r="L14" s="31">
        <v>0</v>
      </c>
      <c r="M14" s="2"/>
      <c r="N14" s="31"/>
      <c r="O14" s="31">
        <v>5000</v>
      </c>
      <c r="P14" s="31"/>
      <c r="Q14" s="31"/>
      <c r="R14" s="31"/>
      <c r="S14" s="52">
        <f>(R14-O14)/O14</f>
        <v>-1</v>
      </c>
      <c r="T14" s="31" t="s">
        <v>515</v>
      </c>
    </row>
    <row r="15" spans="1:19" ht="12.75" hidden="1">
      <c r="A15" s="22" t="s">
        <v>167</v>
      </c>
      <c r="B15" s="49">
        <v>51.291</v>
      </c>
      <c r="C15" s="31"/>
      <c r="D15" s="31"/>
      <c r="E15" s="31"/>
      <c r="F15" s="31">
        <v>24911</v>
      </c>
      <c r="G15" s="31">
        <v>29391</v>
      </c>
      <c r="H15" s="31"/>
      <c r="I15" s="31"/>
      <c r="J15" s="31"/>
      <c r="K15" s="31"/>
      <c r="L15" s="31">
        <v>0</v>
      </c>
      <c r="M15" s="31"/>
      <c r="N15" s="31"/>
      <c r="O15" s="31"/>
      <c r="P15" s="31"/>
      <c r="Q15" s="31"/>
      <c r="R15" s="31"/>
      <c r="S15" s="52"/>
    </row>
    <row r="16" spans="2:19" ht="12.75">
      <c r="B16" s="4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52"/>
    </row>
    <row r="17" spans="1:21" ht="12.75">
      <c r="A17" s="22" t="s">
        <v>739</v>
      </c>
      <c r="B17" s="49">
        <v>52.1205</v>
      </c>
      <c r="C17" s="31"/>
      <c r="D17" s="31"/>
      <c r="E17" s="31"/>
      <c r="F17" s="31"/>
      <c r="G17" s="31"/>
      <c r="H17" s="31"/>
      <c r="I17" s="31"/>
      <c r="J17" s="31">
        <v>750</v>
      </c>
      <c r="K17" s="31">
        <v>750</v>
      </c>
      <c r="L17" s="31">
        <v>750</v>
      </c>
      <c r="M17" s="31"/>
      <c r="N17" s="31"/>
      <c r="O17" s="31">
        <v>750</v>
      </c>
      <c r="P17" s="31">
        <v>750</v>
      </c>
      <c r="Q17" s="31">
        <v>750</v>
      </c>
      <c r="R17" s="31">
        <v>750</v>
      </c>
      <c r="S17" s="52"/>
      <c r="U17" s="31"/>
    </row>
    <row r="18" spans="1:19" ht="12.75" hidden="1">
      <c r="A18" s="22" t="s">
        <v>206</v>
      </c>
      <c r="B18" s="49">
        <v>52.121</v>
      </c>
      <c r="C18" s="31"/>
      <c r="D18" s="31"/>
      <c r="E18" s="31"/>
      <c r="F18" s="31">
        <v>219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52"/>
    </row>
    <row r="19" spans="1:19" ht="12.75">
      <c r="A19" s="22" t="s">
        <v>168</v>
      </c>
      <c r="B19" s="49">
        <v>52.126</v>
      </c>
      <c r="C19" s="31">
        <v>5623</v>
      </c>
      <c r="D19" s="31">
        <v>2904</v>
      </c>
      <c r="E19" s="31">
        <v>734</v>
      </c>
      <c r="F19" s="31">
        <v>7591</v>
      </c>
      <c r="G19" s="31">
        <v>5906</v>
      </c>
      <c r="H19" s="31">
        <v>3902</v>
      </c>
      <c r="I19" s="31">
        <v>5518</v>
      </c>
      <c r="J19" s="31">
        <v>5296</v>
      </c>
      <c r="K19" s="31">
        <v>4554</v>
      </c>
      <c r="L19" s="31">
        <f>5740+295</f>
        <v>6035</v>
      </c>
      <c r="M19" s="31">
        <v>1659</v>
      </c>
      <c r="N19" s="31">
        <f>(12/$M$3)*M19</f>
        <v>3318</v>
      </c>
      <c r="O19" s="31">
        <v>5300</v>
      </c>
      <c r="P19" s="31">
        <v>5300</v>
      </c>
      <c r="Q19" s="31">
        <v>5300</v>
      </c>
      <c r="R19" s="31">
        <v>5300</v>
      </c>
      <c r="S19" s="52">
        <f>(R19-O19)/O19</f>
        <v>0</v>
      </c>
    </row>
    <row r="20" spans="1:19" ht="12.75">
      <c r="A20" s="22" t="s">
        <v>398</v>
      </c>
      <c r="B20" s="49">
        <v>52.1302</v>
      </c>
      <c r="C20" s="31"/>
      <c r="D20" s="31"/>
      <c r="E20" s="31"/>
      <c r="F20" s="31">
        <v>1494</v>
      </c>
      <c r="G20" s="31">
        <v>1494</v>
      </c>
      <c r="H20" s="31">
        <v>389</v>
      </c>
      <c r="I20" s="31"/>
      <c r="J20" s="31"/>
      <c r="K20" s="31">
        <v>3113</v>
      </c>
      <c r="L20" s="31">
        <v>1829</v>
      </c>
      <c r="M20" s="31"/>
      <c r="N20" s="31">
        <v>1200</v>
      </c>
      <c r="O20" s="31"/>
      <c r="P20" s="31">
        <v>1200</v>
      </c>
      <c r="Q20" s="31">
        <v>1200</v>
      </c>
      <c r="R20" s="31">
        <v>1200</v>
      </c>
      <c r="S20" s="52" t="e">
        <f>(R20-O20)/O20</f>
        <v>#DIV/0!</v>
      </c>
    </row>
    <row r="21" spans="1:19" ht="12.75" hidden="1">
      <c r="A21" s="22" t="s">
        <v>367</v>
      </c>
      <c r="B21" s="49">
        <v>52.1305</v>
      </c>
      <c r="C21" s="31"/>
      <c r="D21" s="31"/>
      <c r="E21" s="31">
        <v>90</v>
      </c>
      <c r="F21" s="31">
        <v>300</v>
      </c>
      <c r="G21" s="31"/>
      <c r="H21" s="31"/>
      <c r="I21" s="31"/>
      <c r="J21" s="31"/>
      <c r="K21" s="31"/>
      <c r="L21" s="31"/>
      <c r="M21" s="31"/>
      <c r="N21" s="31">
        <v>0</v>
      </c>
      <c r="O21" s="31"/>
      <c r="P21" s="31"/>
      <c r="Q21" s="31"/>
      <c r="R21" s="31"/>
      <c r="S21" s="52"/>
    </row>
    <row r="22" spans="1:20" ht="12.75">
      <c r="A22" s="22" t="s">
        <v>633</v>
      </c>
      <c r="B22" s="49">
        <v>52.1309</v>
      </c>
      <c r="C22" s="31"/>
      <c r="D22" s="31"/>
      <c r="E22" s="31"/>
      <c r="F22" s="31"/>
      <c r="G22" s="31"/>
      <c r="H22" s="31"/>
      <c r="I22" s="31">
        <v>350</v>
      </c>
      <c r="J22" s="31">
        <v>350</v>
      </c>
      <c r="K22" s="31">
        <v>400</v>
      </c>
      <c r="L22" s="31">
        <v>400</v>
      </c>
      <c r="M22" s="31"/>
      <c r="N22" s="31"/>
      <c r="O22" s="31"/>
      <c r="P22" s="31"/>
      <c r="Q22" s="31"/>
      <c r="R22" s="31"/>
      <c r="S22" s="52"/>
      <c r="T22" s="22" t="s">
        <v>874</v>
      </c>
    </row>
    <row r="23" spans="1:19" ht="12.75">
      <c r="A23" s="22" t="s">
        <v>169</v>
      </c>
      <c r="B23" s="49">
        <v>52.131</v>
      </c>
      <c r="C23" s="31">
        <v>1625</v>
      </c>
      <c r="D23" s="31">
        <v>900</v>
      </c>
      <c r="E23" s="31">
        <v>1062</v>
      </c>
      <c r="F23" s="31">
        <v>1835</v>
      </c>
      <c r="G23" s="31">
        <v>1637</v>
      </c>
      <c r="H23" s="31">
        <v>300</v>
      </c>
      <c r="I23" s="31">
        <v>977</v>
      </c>
      <c r="J23" s="31">
        <v>2475</v>
      </c>
      <c r="K23" s="31">
        <v>2835</v>
      </c>
      <c r="L23" s="31">
        <v>2820</v>
      </c>
      <c r="M23" s="2">
        <v>2939.9</v>
      </c>
      <c r="N23" s="31">
        <v>3000</v>
      </c>
      <c r="O23" s="31">
        <v>3000</v>
      </c>
      <c r="P23" s="31">
        <v>3000</v>
      </c>
      <c r="Q23" s="31">
        <v>3000</v>
      </c>
      <c r="R23" s="31">
        <v>3000</v>
      </c>
      <c r="S23" s="52">
        <f>(R23-O23)/O23</f>
        <v>0</v>
      </c>
    </row>
    <row r="24" spans="1:19" ht="12.75">
      <c r="A24" s="22" t="s">
        <v>170</v>
      </c>
      <c r="B24" s="49">
        <v>52.1312</v>
      </c>
      <c r="C24" s="31"/>
      <c r="D24" s="31"/>
      <c r="E24" s="31">
        <v>558</v>
      </c>
      <c r="F24" s="31">
        <v>745</v>
      </c>
      <c r="G24" s="31">
        <v>685</v>
      </c>
      <c r="H24" s="31">
        <v>1368</v>
      </c>
      <c r="I24" s="31">
        <v>1618</v>
      </c>
      <c r="J24" s="31">
        <v>1483</v>
      </c>
      <c r="K24" s="31">
        <v>2780</v>
      </c>
      <c r="L24" s="31">
        <v>3100</v>
      </c>
      <c r="M24" s="11">
        <v>912</v>
      </c>
      <c r="N24" s="31">
        <f>(12/$M$3)*M24</f>
        <v>1824</v>
      </c>
      <c r="O24" s="31">
        <v>2000</v>
      </c>
      <c r="P24" s="31">
        <v>2000</v>
      </c>
      <c r="Q24" s="31">
        <v>2000</v>
      </c>
      <c r="R24" s="31">
        <v>2000</v>
      </c>
      <c r="S24" s="52">
        <f>(R24-O24)/O24</f>
        <v>0</v>
      </c>
    </row>
    <row r="25" spans="1:20" ht="12.75">
      <c r="A25" s="22" t="s">
        <v>55</v>
      </c>
      <c r="B25" s="49">
        <v>52.1316</v>
      </c>
      <c r="C25" s="31">
        <v>3015</v>
      </c>
      <c r="D25" s="31">
        <v>4244</v>
      </c>
      <c r="E25" s="31">
        <v>1865</v>
      </c>
      <c r="F25" s="31">
        <v>105</v>
      </c>
      <c r="G25" s="31">
        <v>1531</v>
      </c>
      <c r="H25" s="31">
        <v>1684</v>
      </c>
      <c r="I25" s="31">
        <v>1853</v>
      </c>
      <c r="J25" s="31">
        <v>2038</v>
      </c>
      <c r="K25" s="31">
        <v>2242</v>
      </c>
      <c r="L25" s="31">
        <v>0</v>
      </c>
      <c r="M25" s="11"/>
      <c r="N25" s="31">
        <f>(12/$M$3)*M25</f>
        <v>0</v>
      </c>
      <c r="O25" s="31">
        <v>1200</v>
      </c>
      <c r="P25" s="31">
        <v>1650</v>
      </c>
      <c r="Q25" s="31">
        <v>1650</v>
      </c>
      <c r="R25" s="31">
        <v>1650</v>
      </c>
      <c r="S25" s="52">
        <f>(R25-O25)/O25</f>
        <v>0.375</v>
      </c>
      <c r="T25" s="22" t="s">
        <v>582</v>
      </c>
    </row>
    <row r="26" spans="1:19" ht="12.75">
      <c r="A26" s="22" t="s">
        <v>433</v>
      </c>
      <c r="B26" s="49">
        <v>52.1319</v>
      </c>
      <c r="C26" s="31"/>
      <c r="D26" s="31"/>
      <c r="E26" s="31">
        <v>376</v>
      </c>
      <c r="F26" s="31"/>
      <c r="G26" s="31">
        <v>2660</v>
      </c>
      <c r="H26" s="31">
        <v>1239</v>
      </c>
      <c r="I26" s="31">
        <v>1318</v>
      </c>
      <c r="J26" s="31">
        <v>1449</v>
      </c>
      <c r="K26" s="31">
        <v>1823</v>
      </c>
      <c r="L26" s="31">
        <v>1449</v>
      </c>
      <c r="M26" s="11">
        <v>499.5</v>
      </c>
      <c r="N26" s="31">
        <f>(12/$M$3)*M26</f>
        <v>999</v>
      </c>
      <c r="O26" s="31">
        <v>1400</v>
      </c>
      <c r="P26" s="31">
        <v>1400</v>
      </c>
      <c r="Q26" s="31">
        <v>1400</v>
      </c>
      <c r="R26" s="31">
        <v>1400</v>
      </c>
      <c r="S26" s="52">
        <f>(R26-O26)/O26</f>
        <v>0</v>
      </c>
    </row>
    <row r="27" spans="1:19" ht="12.75">
      <c r="A27" s="22" t="s">
        <v>579</v>
      </c>
      <c r="B27" s="49">
        <v>52.2206</v>
      </c>
      <c r="C27" s="31"/>
      <c r="D27" s="31"/>
      <c r="E27" s="31"/>
      <c r="F27" s="31"/>
      <c r="G27" s="31"/>
      <c r="H27" s="31"/>
      <c r="I27" s="31"/>
      <c r="J27" s="31"/>
      <c r="K27" s="31">
        <v>561</v>
      </c>
      <c r="L27" s="31">
        <v>365</v>
      </c>
      <c r="M27" s="11">
        <v>150</v>
      </c>
      <c r="N27" s="31">
        <v>150</v>
      </c>
      <c r="O27" s="31"/>
      <c r="P27" s="31"/>
      <c r="Q27" s="31"/>
      <c r="R27" s="31"/>
      <c r="S27" s="52"/>
    </row>
    <row r="28" spans="1:19" ht="12.75">
      <c r="A28" s="22" t="s">
        <v>142</v>
      </c>
      <c r="B28" s="49">
        <v>52.321</v>
      </c>
      <c r="C28" s="22">
        <v>376</v>
      </c>
      <c r="D28" s="22">
        <v>-38</v>
      </c>
      <c r="E28" s="31"/>
      <c r="F28" s="31">
        <v>5</v>
      </c>
      <c r="G28" s="31">
        <v>150</v>
      </c>
      <c r="H28" s="31">
        <v>1520</v>
      </c>
      <c r="I28" s="31">
        <v>1275</v>
      </c>
      <c r="J28" s="31">
        <v>2296</v>
      </c>
      <c r="K28" s="31">
        <v>1158</v>
      </c>
      <c r="L28" s="31">
        <f>1581+5</f>
        <v>1586</v>
      </c>
      <c r="M28" s="11">
        <v>550.71</v>
      </c>
      <c r="N28" s="31">
        <f>(12/$M$3)*M28</f>
        <v>1101.42</v>
      </c>
      <c r="O28" s="31">
        <v>1500</v>
      </c>
      <c r="P28" s="31">
        <v>1500</v>
      </c>
      <c r="Q28" s="31">
        <v>1500</v>
      </c>
      <c r="R28" s="31">
        <v>1500</v>
      </c>
      <c r="S28" s="52">
        <f>(R28-O28)/O28</f>
        <v>0</v>
      </c>
    </row>
    <row r="29" spans="1:19" ht="12.75">
      <c r="A29" s="22" t="s">
        <v>163</v>
      </c>
      <c r="B29" s="49">
        <v>52.33</v>
      </c>
      <c r="C29" s="31"/>
      <c r="D29" s="31">
        <v>12977</v>
      </c>
      <c r="E29" s="31">
        <v>13697</v>
      </c>
      <c r="F29" s="31">
        <v>8658</v>
      </c>
      <c r="G29" s="31">
        <v>8792</v>
      </c>
      <c r="H29" s="31">
        <v>8050</v>
      </c>
      <c r="I29" s="31">
        <v>6340</v>
      </c>
      <c r="J29" s="31">
        <v>7937</v>
      </c>
      <c r="K29" s="31">
        <f>3836+2230</f>
        <v>6066</v>
      </c>
      <c r="L29" s="31">
        <f>3810+1909</f>
        <v>5719</v>
      </c>
      <c r="M29" s="11">
        <v>3006.85</v>
      </c>
      <c r="N29" s="31">
        <f>(12/$M$3)*M29</f>
        <v>6013.7</v>
      </c>
      <c r="O29" s="31">
        <v>5000</v>
      </c>
      <c r="P29" s="31">
        <v>5000</v>
      </c>
      <c r="Q29" s="31">
        <v>5000</v>
      </c>
      <c r="R29" s="31">
        <v>5000</v>
      </c>
      <c r="S29" s="52">
        <f>(R29-O29)/O29</f>
        <v>0</v>
      </c>
    </row>
    <row r="30" spans="1:19" ht="12.75" hidden="1">
      <c r="A30" s="22" t="s">
        <v>728</v>
      </c>
      <c r="B30" s="49">
        <v>52.34</v>
      </c>
      <c r="C30" s="31"/>
      <c r="D30" s="31"/>
      <c r="E30" s="31"/>
      <c r="F30" s="31"/>
      <c r="G30" s="31"/>
      <c r="H30" s="31"/>
      <c r="I30" s="31">
        <v>4867</v>
      </c>
      <c r="J30" s="31"/>
      <c r="K30" s="31"/>
      <c r="L30" s="31">
        <v>0</v>
      </c>
      <c r="M30" s="31"/>
      <c r="N30" s="31">
        <f>(12/$M$3)*M30</f>
        <v>0</v>
      </c>
      <c r="O30" s="31"/>
      <c r="P30" s="31"/>
      <c r="Q30" s="31"/>
      <c r="R30" s="31"/>
      <c r="S30" s="52"/>
    </row>
    <row r="31" spans="1:19" ht="12.75" hidden="1">
      <c r="A31" s="22" t="s">
        <v>394</v>
      </c>
      <c r="B31" s="49">
        <v>52.361</v>
      </c>
      <c r="C31" s="31"/>
      <c r="D31" s="31"/>
      <c r="E31" s="31">
        <v>5701</v>
      </c>
      <c r="F31" s="31">
        <v>45</v>
      </c>
      <c r="G31" s="31">
        <v>60</v>
      </c>
      <c r="H31" s="31"/>
      <c r="I31" s="31"/>
      <c r="J31" s="31"/>
      <c r="K31" s="31"/>
      <c r="L31" s="31"/>
      <c r="M31" s="31"/>
      <c r="N31" s="31">
        <f>(12/$M$3)*M31</f>
        <v>0</v>
      </c>
      <c r="O31" s="31"/>
      <c r="P31" s="31"/>
      <c r="Q31" s="31"/>
      <c r="R31" s="31"/>
      <c r="S31" s="52"/>
    </row>
    <row r="32" spans="1:19" ht="12.75" hidden="1">
      <c r="A32" s="22" t="s">
        <v>154</v>
      </c>
      <c r="B32" s="49">
        <v>52.35</v>
      </c>
      <c r="C32" s="31"/>
      <c r="D32" s="31"/>
      <c r="E32" s="31"/>
      <c r="F32" s="31"/>
      <c r="G32" s="31"/>
      <c r="H32" s="31"/>
      <c r="I32" s="31"/>
      <c r="J32" s="31"/>
      <c r="K32" s="31"/>
      <c r="L32" s="31">
        <v>0</v>
      </c>
      <c r="M32" s="31"/>
      <c r="N32" s="31"/>
      <c r="O32" s="31"/>
      <c r="P32" s="31"/>
      <c r="Q32" s="31"/>
      <c r="R32" s="31"/>
      <c r="S32" s="52"/>
    </row>
    <row r="33" spans="1:20" ht="12.75">
      <c r="A33" s="22" t="s">
        <v>396</v>
      </c>
      <c r="B33" s="49">
        <v>52.37</v>
      </c>
      <c r="C33" s="31"/>
      <c r="D33" s="31"/>
      <c r="E33" s="31"/>
      <c r="F33" s="31"/>
      <c r="G33" s="31">
        <v>299</v>
      </c>
      <c r="H33" s="31">
        <v>1033</v>
      </c>
      <c r="I33" s="31">
        <v>130</v>
      </c>
      <c r="J33" s="31">
        <f>60+78</f>
        <v>138</v>
      </c>
      <c r="K33" s="31"/>
      <c r="L33" s="31">
        <v>0</v>
      </c>
      <c r="M33" s="31"/>
      <c r="N33" s="31">
        <f>(12/$M$3)*M33</f>
        <v>0</v>
      </c>
      <c r="O33" s="31"/>
      <c r="P33" s="31"/>
      <c r="Q33" s="31"/>
      <c r="R33" s="31"/>
      <c r="S33" s="52"/>
      <c r="T33" s="31"/>
    </row>
    <row r="34" spans="1:20" ht="12.75">
      <c r="A34" s="22" t="s">
        <v>25</v>
      </c>
      <c r="B34" s="4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/>
      <c r="N34" s="31"/>
      <c r="O34" s="31">
        <v>10000</v>
      </c>
      <c r="P34" s="31"/>
      <c r="Q34" s="31"/>
      <c r="R34" s="31"/>
      <c r="S34" s="52"/>
      <c r="T34" s="31"/>
    </row>
    <row r="35" spans="2:20" ht="12.75">
      <c r="B35" s="4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52"/>
      <c r="T35" s="31"/>
    </row>
    <row r="36" spans="1:19" ht="12.75" hidden="1">
      <c r="A36" s="22" t="s">
        <v>172</v>
      </c>
      <c r="B36" s="49">
        <v>53.1321</v>
      </c>
      <c r="C36" s="31"/>
      <c r="D36" s="31">
        <v>1065</v>
      </c>
      <c r="E36" s="31">
        <v>1065</v>
      </c>
      <c r="F36" s="31">
        <v>2000</v>
      </c>
      <c r="G36" s="31"/>
      <c r="H36" s="31"/>
      <c r="I36" s="31"/>
      <c r="J36" s="31"/>
      <c r="K36" s="31"/>
      <c r="L36" s="31"/>
      <c r="M36" s="31"/>
      <c r="N36" s="31">
        <v>0</v>
      </c>
      <c r="O36" s="31"/>
      <c r="P36" s="31"/>
      <c r="Q36" s="31"/>
      <c r="R36" s="31"/>
      <c r="S36" s="52"/>
    </row>
    <row r="37" spans="1:19" ht="12.75" hidden="1">
      <c r="A37" s="22" t="s">
        <v>173</v>
      </c>
      <c r="B37" s="49">
        <v>53.134</v>
      </c>
      <c r="C37" s="31">
        <v>1310</v>
      </c>
      <c r="D37" s="31">
        <v>1550</v>
      </c>
      <c r="E37" s="31">
        <v>1385</v>
      </c>
      <c r="F37" s="31">
        <v>1685</v>
      </c>
      <c r="G37" s="31">
        <v>1632</v>
      </c>
      <c r="H37" s="31"/>
      <c r="I37" s="31"/>
      <c r="J37" s="31"/>
      <c r="K37" s="31"/>
      <c r="L37" s="31"/>
      <c r="M37" s="31"/>
      <c r="N37" s="31">
        <v>0</v>
      </c>
      <c r="O37" s="31"/>
      <c r="P37" s="31"/>
      <c r="Q37" s="31"/>
      <c r="R37" s="31"/>
      <c r="S37" s="52"/>
    </row>
    <row r="38" spans="1:19" ht="12.75">
      <c r="A38" s="22" t="s">
        <v>576</v>
      </c>
      <c r="B38" s="49">
        <v>53.16</v>
      </c>
      <c r="C38" s="31"/>
      <c r="D38" s="31"/>
      <c r="E38" s="31"/>
      <c r="F38" s="31"/>
      <c r="G38" s="31"/>
      <c r="H38" s="31"/>
      <c r="I38" s="31"/>
      <c r="J38" s="31">
        <v>2310</v>
      </c>
      <c r="K38" s="31"/>
      <c r="L38" s="31"/>
      <c r="M38" s="31"/>
      <c r="N38" s="31"/>
      <c r="O38" s="31"/>
      <c r="P38" s="31"/>
      <c r="Q38" s="31"/>
      <c r="R38" s="31"/>
      <c r="S38" s="52"/>
    </row>
    <row r="39" spans="1:19" ht="12.75" hidden="1">
      <c r="A39" s="22" t="s">
        <v>395</v>
      </c>
      <c r="B39" s="49">
        <v>53.1702</v>
      </c>
      <c r="C39" s="31"/>
      <c r="D39" s="31">
        <v>5463</v>
      </c>
      <c r="E39" s="31">
        <v>45</v>
      </c>
      <c r="F39" s="31"/>
      <c r="G39" s="31"/>
      <c r="H39" s="31"/>
      <c r="I39" s="31"/>
      <c r="J39" s="31"/>
      <c r="K39" s="31"/>
      <c r="L39" s="31"/>
      <c r="M39" s="31"/>
      <c r="N39" s="31">
        <f>(12/$M$3)*M39</f>
        <v>0</v>
      </c>
      <c r="O39" s="31"/>
      <c r="P39" s="31"/>
      <c r="Q39" s="31"/>
      <c r="R39" s="31"/>
      <c r="S39" s="52"/>
    </row>
    <row r="40" spans="1:19" ht="12.75">
      <c r="A40" s="22" t="s">
        <v>174</v>
      </c>
      <c r="B40" s="49">
        <v>53.1704</v>
      </c>
      <c r="C40" s="31">
        <v>9097</v>
      </c>
      <c r="D40" s="31">
        <v>4013</v>
      </c>
      <c r="E40" s="31">
        <v>3762</v>
      </c>
      <c r="F40" s="31">
        <v>2544</v>
      </c>
      <c r="G40" s="31">
        <v>3127</v>
      </c>
      <c r="H40" s="31">
        <v>590</v>
      </c>
      <c r="I40" s="31">
        <v>2200</v>
      </c>
      <c r="J40" s="31">
        <f>36+3337</f>
        <v>3373</v>
      </c>
      <c r="K40" s="31">
        <v>6466</v>
      </c>
      <c r="L40" s="31">
        <f>3626+76</f>
        <v>3702</v>
      </c>
      <c r="M40" s="11">
        <v>608.55</v>
      </c>
      <c r="N40" s="31">
        <f>(12/$M$3)*M40</f>
        <v>1217.1</v>
      </c>
      <c r="O40" s="31">
        <v>4000</v>
      </c>
      <c r="P40" s="31">
        <v>3000</v>
      </c>
      <c r="Q40" s="31">
        <v>3000</v>
      </c>
      <c r="R40" s="31">
        <v>1500</v>
      </c>
      <c r="S40" s="52">
        <f>(R40-O40)/O40</f>
        <v>-0.625</v>
      </c>
    </row>
    <row r="41" spans="1:19" ht="12.75">
      <c r="A41" s="22" t="s">
        <v>149</v>
      </c>
      <c r="B41" s="49">
        <v>53.171</v>
      </c>
      <c r="C41" s="31">
        <v>3500</v>
      </c>
      <c r="D41" s="31">
        <v>5080</v>
      </c>
      <c r="E41" s="31">
        <v>6741</v>
      </c>
      <c r="F41" s="31">
        <v>5447</v>
      </c>
      <c r="G41" s="31">
        <v>9187</v>
      </c>
      <c r="H41" s="31">
        <v>6428</v>
      </c>
      <c r="I41" s="31">
        <v>8048</v>
      </c>
      <c r="J41" s="31">
        <v>12273</v>
      </c>
      <c r="K41" s="31">
        <v>9361</v>
      </c>
      <c r="L41" s="31">
        <v>8533</v>
      </c>
      <c r="M41" s="11">
        <v>2809.69</v>
      </c>
      <c r="N41" s="31">
        <f>(12/$M$3)*M41</f>
        <v>5619.38</v>
      </c>
      <c r="O41" s="31">
        <v>9000</v>
      </c>
      <c r="P41" s="31">
        <v>8000</v>
      </c>
      <c r="Q41" s="31">
        <v>8000</v>
      </c>
      <c r="R41" s="31">
        <v>6000</v>
      </c>
      <c r="S41" s="52">
        <f>(R41-O41)/O41</f>
        <v>-0.3333333333333333</v>
      </c>
    </row>
    <row r="42" spans="1:19" ht="12.75" hidden="1">
      <c r="A42" s="22" t="s">
        <v>655</v>
      </c>
      <c r="B42" s="49">
        <v>53.1729</v>
      </c>
      <c r="C42" s="31"/>
      <c r="D42" s="31"/>
      <c r="E42" s="31"/>
      <c r="F42" s="31"/>
      <c r="G42" s="31"/>
      <c r="H42" s="31"/>
      <c r="I42" s="31">
        <v>1995</v>
      </c>
      <c r="J42" s="31"/>
      <c r="K42" s="31"/>
      <c r="L42" s="31"/>
      <c r="M42" s="31"/>
      <c r="N42" s="31"/>
      <c r="O42" s="31"/>
      <c r="P42" s="31"/>
      <c r="Q42" s="31"/>
      <c r="R42" s="31"/>
      <c r="S42" s="52"/>
    </row>
    <row r="43" spans="1:19" ht="12.75">
      <c r="A43" s="22" t="s">
        <v>175</v>
      </c>
      <c r="B43" s="49">
        <v>53.172</v>
      </c>
      <c r="C43" s="31">
        <v>120</v>
      </c>
      <c r="D43" s="31">
        <v>160</v>
      </c>
      <c r="E43" s="31"/>
      <c r="F43" s="31">
        <v>116</v>
      </c>
      <c r="G43" s="31"/>
      <c r="H43" s="31">
        <v>74</v>
      </c>
      <c r="I43" s="31"/>
      <c r="J43" s="31">
        <v>226</v>
      </c>
      <c r="K43" s="31"/>
      <c r="L43" s="31"/>
      <c r="M43" s="31"/>
      <c r="N43" s="31">
        <f aca="true" t="shared" si="0" ref="N43:N48">(12/$M$3)*M43</f>
        <v>0</v>
      </c>
      <c r="O43" s="31"/>
      <c r="P43" s="31"/>
      <c r="Q43" s="31"/>
      <c r="R43" s="31"/>
      <c r="S43" s="52"/>
    </row>
    <row r="44" spans="1:19" ht="12.75">
      <c r="A44" s="22" t="s">
        <v>176</v>
      </c>
      <c r="B44" s="49">
        <v>53.175</v>
      </c>
      <c r="C44" s="31">
        <v>280</v>
      </c>
      <c r="D44" s="31">
        <v>56</v>
      </c>
      <c r="E44" s="31">
        <v>2415</v>
      </c>
      <c r="F44" s="31">
        <v>709</v>
      </c>
      <c r="G44" s="31">
        <v>420</v>
      </c>
      <c r="H44" s="31">
        <v>1277</v>
      </c>
      <c r="I44" s="31">
        <v>2005</v>
      </c>
      <c r="J44" s="31">
        <f>1743+66</f>
        <v>1809</v>
      </c>
      <c r="K44" s="31">
        <f>2240+28</f>
        <v>2268</v>
      </c>
      <c r="L44" s="31">
        <v>2846</v>
      </c>
      <c r="M44" s="31">
        <v>1394.25</v>
      </c>
      <c r="N44" s="31">
        <f t="shared" si="0"/>
        <v>2788.5</v>
      </c>
      <c r="O44" s="31">
        <v>1900</v>
      </c>
      <c r="P44" s="31">
        <v>1900</v>
      </c>
      <c r="Q44" s="31">
        <v>1900</v>
      </c>
      <c r="R44" s="31">
        <v>1900</v>
      </c>
      <c r="S44" s="52">
        <f>(R44-O44)/O44</f>
        <v>0</v>
      </c>
    </row>
    <row r="45" spans="1:19" ht="12.75">
      <c r="A45" s="22" t="s">
        <v>177</v>
      </c>
      <c r="B45" s="49">
        <v>53.176</v>
      </c>
      <c r="C45" s="31">
        <v>11</v>
      </c>
      <c r="D45" s="31">
        <v>3</v>
      </c>
      <c r="E45" s="31">
        <v>95</v>
      </c>
      <c r="F45" s="31">
        <v>70</v>
      </c>
      <c r="G45" s="31">
        <v>94</v>
      </c>
      <c r="H45" s="31">
        <v>210</v>
      </c>
      <c r="I45" s="31">
        <v>174</v>
      </c>
      <c r="J45" s="31">
        <v>266</v>
      </c>
      <c r="K45" s="31">
        <v>319</v>
      </c>
      <c r="L45" s="31">
        <v>282</v>
      </c>
      <c r="M45" s="31">
        <v>314.37</v>
      </c>
      <c r="N45" s="31">
        <f t="shared" si="0"/>
        <v>628.74</v>
      </c>
      <c r="O45" s="31">
        <v>300</v>
      </c>
      <c r="P45" s="31">
        <v>300</v>
      </c>
      <c r="Q45" s="31">
        <v>300</v>
      </c>
      <c r="R45" s="31">
        <v>300</v>
      </c>
      <c r="S45" s="52">
        <f>(R45-O45)/O45</f>
        <v>0</v>
      </c>
    </row>
    <row r="46" spans="1:19" ht="12.75">
      <c r="A46" s="22" t="s">
        <v>178</v>
      </c>
      <c r="B46" s="49">
        <v>53.177</v>
      </c>
      <c r="C46" s="31"/>
      <c r="D46" s="31"/>
      <c r="E46" s="31">
        <v>245</v>
      </c>
      <c r="F46" s="31">
        <v>175</v>
      </c>
      <c r="G46" s="31"/>
      <c r="H46" s="31">
        <v>751</v>
      </c>
      <c r="I46" s="31">
        <v>85</v>
      </c>
      <c r="J46" s="31">
        <v>458</v>
      </c>
      <c r="K46" s="31">
        <v>828</v>
      </c>
      <c r="L46" s="31">
        <v>376</v>
      </c>
      <c r="M46" s="31">
        <v>449.7</v>
      </c>
      <c r="N46" s="31">
        <f t="shared" si="0"/>
        <v>899.4</v>
      </c>
      <c r="O46" s="31">
        <v>500</v>
      </c>
      <c r="P46" s="31">
        <v>500</v>
      </c>
      <c r="Q46" s="31">
        <v>500</v>
      </c>
      <c r="R46" s="31">
        <v>500</v>
      </c>
      <c r="S46" s="52">
        <f>(R46-O46)/O46</f>
        <v>0</v>
      </c>
    </row>
    <row r="47" spans="1:19" ht="12.75">
      <c r="A47" s="22" t="s">
        <v>821</v>
      </c>
      <c r="B47" s="49">
        <v>53.178</v>
      </c>
      <c r="C47" s="31"/>
      <c r="D47" s="31"/>
      <c r="E47" s="31"/>
      <c r="F47" s="31"/>
      <c r="G47" s="31"/>
      <c r="H47" s="31"/>
      <c r="I47" s="31"/>
      <c r="J47" s="31"/>
      <c r="K47" s="31">
        <v>150</v>
      </c>
      <c r="L47" s="31">
        <v>241</v>
      </c>
      <c r="M47" s="31">
        <v>98.23</v>
      </c>
      <c r="N47" s="31">
        <f t="shared" si="0"/>
        <v>196.46</v>
      </c>
      <c r="O47" s="31"/>
      <c r="P47" s="31"/>
      <c r="Q47" s="31"/>
      <c r="R47" s="31"/>
      <c r="S47" s="52"/>
    </row>
    <row r="48" spans="1:19" ht="12.75">
      <c r="A48" s="22" t="s">
        <v>179</v>
      </c>
      <c r="B48" s="49">
        <v>53.179</v>
      </c>
      <c r="C48" s="31">
        <v>5</v>
      </c>
      <c r="D48" s="31">
        <v>49</v>
      </c>
      <c r="E48" s="31">
        <v>516</v>
      </c>
      <c r="F48" s="31">
        <v>58</v>
      </c>
      <c r="G48" s="31">
        <v>1353</v>
      </c>
      <c r="H48" s="31">
        <v>3172</v>
      </c>
      <c r="I48" s="31">
        <v>3781</v>
      </c>
      <c r="J48" s="31">
        <v>5727</v>
      </c>
      <c r="K48" s="31">
        <v>5605</v>
      </c>
      <c r="L48" s="31">
        <v>9560</v>
      </c>
      <c r="M48" s="31">
        <v>3563.52</v>
      </c>
      <c r="N48" s="31">
        <f t="shared" si="0"/>
        <v>7127.04</v>
      </c>
      <c r="O48" s="31">
        <v>7000</v>
      </c>
      <c r="P48" s="31">
        <v>7000</v>
      </c>
      <c r="Q48" s="31">
        <v>7000</v>
      </c>
      <c r="R48" s="31">
        <v>5000</v>
      </c>
      <c r="S48" s="52">
        <f>(R48-O48)/O48</f>
        <v>-0.2857142857142857</v>
      </c>
    </row>
    <row r="49" spans="1:19" ht="12.75">
      <c r="A49" s="22" t="s">
        <v>242</v>
      </c>
      <c r="B49" s="49">
        <v>53.18</v>
      </c>
      <c r="C49" s="31"/>
      <c r="D49" s="31"/>
      <c r="E49" s="31"/>
      <c r="F49" s="31"/>
      <c r="G49" s="31"/>
      <c r="H49" s="31"/>
      <c r="I49" s="31"/>
      <c r="J49" s="31"/>
      <c r="K49" s="31"/>
      <c r="L49" s="31">
        <v>64</v>
      </c>
      <c r="M49" s="31"/>
      <c r="N49" s="31"/>
      <c r="O49" s="31"/>
      <c r="P49" s="31"/>
      <c r="Q49" s="31"/>
      <c r="R49" s="31"/>
      <c r="S49" s="52"/>
    </row>
    <row r="50" spans="14:19" ht="12.75">
      <c r="N50" s="31"/>
      <c r="S50" s="52"/>
    </row>
    <row r="51" spans="1:19" ht="12.75" hidden="1">
      <c r="A51" s="22" t="s">
        <v>373</v>
      </c>
      <c r="B51" s="49">
        <v>54.22</v>
      </c>
      <c r="F51" s="22">
        <v>5238</v>
      </c>
      <c r="I51" s="22">
        <v>15376</v>
      </c>
      <c r="N51" s="31"/>
      <c r="S51" s="52"/>
    </row>
    <row r="52" spans="1:20" ht="12.75">
      <c r="A52" s="22" t="s">
        <v>230</v>
      </c>
      <c r="B52" s="49">
        <v>54.24</v>
      </c>
      <c r="E52" s="31">
        <v>11308</v>
      </c>
      <c r="G52" s="22">
        <v>2341</v>
      </c>
      <c r="I52" s="22">
        <v>2687</v>
      </c>
      <c r="K52" s="22">
        <v>364</v>
      </c>
      <c r="N52" s="31"/>
      <c r="S52" s="52"/>
      <c r="T52" s="22" t="s">
        <v>514</v>
      </c>
    </row>
    <row r="53" spans="1:19" ht="12.75">
      <c r="A53" s="22" t="s">
        <v>437</v>
      </c>
      <c r="B53" s="49">
        <v>54.2402</v>
      </c>
      <c r="E53" s="31"/>
      <c r="G53" s="22">
        <v>19041</v>
      </c>
      <c r="I53" s="22">
        <v>1200</v>
      </c>
      <c r="J53" s="22">
        <v>1200</v>
      </c>
      <c r="N53" s="31"/>
      <c r="S53" s="52"/>
    </row>
    <row r="54" spans="1:19" ht="12.75">
      <c r="A54" s="22" t="s">
        <v>180</v>
      </c>
      <c r="B54" s="49">
        <v>54.25</v>
      </c>
      <c r="C54" s="31"/>
      <c r="D54" s="31"/>
      <c r="E54" s="31">
        <v>8587</v>
      </c>
      <c r="F54" s="31">
        <v>4841</v>
      </c>
      <c r="G54" s="31">
        <v>1203</v>
      </c>
      <c r="H54" s="31"/>
      <c r="I54" s="31">
        <v>2100</v>
      </c>
      <c r="J54" s="31"/>
      <c r="K54" s="31"/>
      <c r="L54" s="31">
        <v>737</v>
      </c>
      <c r="M54" s="31"/>
      <c r="N54" s="31"/>
      <c r="O54" s="31"/>
      <c r="P54" s="31"/>
      <c r="Q54" s="31"/>
      <c r="R54" s="31"/>
      <c r="S54" s="52"/>
    </row>
    <row r="55" spans="1:19" ht="12.75" hidden="1">
      <c r="A55" s="22" t="s">
        <v>682</v>
      </c>
      <c r="B55" s="4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52"/>
    </row>
    <row r="56" spans="1:19" ht="12.75">
      <c r="A56" s="22" t="s">
        <v>966</v>
      </c>
      <c r="B56" s="49"/>
      <c r="C56" s="31"/>
      <c r="D56" s="31"/>
      <c r="E56" s="31"/>
      <c r="F56" s="31"/>
      <c r="G56" s="31"/>
      <c r="H56" s="31"/>
      <c r="I56" s="31"/>
      <c r="J56" s="31"/>
      <c r="K56" s="31"/>
      <c r="L56" s="31">
        <v>940</v>
      </c>
      <c r="M56" s="31"/>
      <c r="N56" s="31"/>
      <c r="O56" s="31"/>
      <c r="P56" s="31"/>
      <c r="Q56" s="31"/>
      <c r="R56" s="31"/>
      <c r="S56" s="52"/>
    </row>
    <row r="57" spans="2:19" ht="12.75">
      <c r="B57" s="4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52"/>
    </row>
    <row r="58" spans="1:20" ht="12.75">
      <c r="A58" s="46" t="s">
        <v>181</v>
      </c>
      <c r="B58" s="49">
        <v>57.9</v>
      </c>
      <c r="C58" s="31"/>
      <c r="D58" s="31"/>
      <c r="E58" s="31"/>
      <c r="F58" s="31"/>
      <c r="G58" s="31"/>
      <c r="H58" s="31"/>
      <c r="I58" s="31"/>
      <c r="J58" s="31"/>
      <c r="K58" s="31">
        <v>32208</v>
      </c>
      <c r="L58" s="31">
        <f>10043+120</f>
        <v>10163</v>
      </c>
      <c r="M58" s="31">
        <v>6046</v>
      </c>
      <c r="N58" s="31">
        <v>25000</v>
      </c>
      <c r="O58" s="31">
        <v>25000</v>
      </c>
      <c r="P58" s="31">
        <v>125000</v>
      </c>
      <c r="Q58" s="31">
        <v>125000</v>
      </c>
      <c r="R58" s="31">
        <v>125000</v>
      </c>
      <c r="S58" s="52">
        <f>(R58-O58)/O58</f>
        <v>4</v>
      </c>
      <c r="T58" s="22" t="s">
        <v>989</v>
      </c>
    </row>
    <row r="59" spans="1:20" ht="12.75">
      <c r="A59" s="22" t="s">
        <v>624</v>
      </c>
      <c r="B59" s="49"/>
      <c r="C59" s="31"/>
      <c r="D59" s="31"/>
      <c r="E59" s="31"/>
      <c r="F59" s="31"/>
      <c r="G59" s="31"/>
      <c r="H59" s="31">
        <v>2500</v>
      </c>
      <c r="I59" s="31"/>
      <c r="J59" s="31">
        <v>1118</v>
      </c>
      <c r="K59" s="31"/>
      <c r="L59" s="31"/>
      <c r="M59" s="31"/>
      <c r="N59" s="31">
        <f>(12/$M$3)*M59</f>
        <v>0</v>
      </c>
      <c r="O59" s="31"/>
      <c r="P59" s="31"/>
      <c r="Q59" s="31"/>
      <c r="R59" s="31"/>
      <c r="S59" s="52"/>
      <c r="T59" s="46"/>
    </row>
    <row r="60" spans="1:19" ht="12.75">
      <c r="A60" s="22" t="s">
        <v>333</v>
      </c>
      <c r="B60" s="49"/>
      <c r="C60" s="54"/>
      <c r="D60" s="24">
        <v>5363</v>
      </c>
      <c r="F60" s="54"/>
      <c r="G60" s="54"/>
      <c r="H60" s="54"/>
      <c r="I60" s="54"/>
      <c r="J60" s="54"/>
      <c r="K60" s="54"/>
      <c r="L60" s="54"/>
      <c r="M60" s="54"/>
      <c r="N60" s="31">
        <f>(12/$M$3)*M60</f>
        <v>0</v>
      </c>
      <c r="O60" s="54"/>
      <c r="P60" s="54"/>
      <c r="Q60" s="54"/>
      <c r="R60" s="54"/>
      <c r="S60" s="52"/>
    </row>
    <row r="61" spans="1:19" ht="12.75">
      <c r="A61" s="46" t="s">
        <v>116</v>
      </c>
      <c r="B61" s="46"/>
      <c r="C61" s="47">
        <v>49231</v>
      </c>
      <c r="D61" s="47">
        <v>69751</v>
      </c>
      <c r="E61" s="47">
        <v>96592</v>
      </c>
      <c r="F61" s="47">
        <v>137104</v>
      </c>
      <c r="G61" s="47">
        <v>155005</v>
      </c>
      <c r="H61" s="47">
        <v>101483</v>
      </c>
      <c r="I61" s="47">
        <v>247308</v>
      </c>
      <c r="J61" s="47">
        <v>121413</v>
      </c>
      <c r="K61" s="47">
        <f>SUM(K7:K60)</f>
        <v>146837.96</v>
      </c>
      <c r="L61" s="47">
        <v>110401</v>
      </c>
      <c r="M61" s="47">
        <f aca="true" t="shared" si="1" ref="M61:R61">SUM(M7:M60)</f>
        <v>45135.549999999996</v>
      </c>
      <c r="N61" s="47">
        <f t="shared" si="1"/>
        <v>101746.48049999999</v>
      </c>
      <c r="O61" s="47">
        <f t="shared" si="1"/>
        <v>131470</v>
      </c>
      <c r="P61" s="47">
        <f t="shared" si="1"/>
        <v>212174.5235</v>
      </c>
      <c r="Q61" s="47">
        <f t="shared" si="1"/>
        <v>210643.7405</v>
      </c>
      <c r="R61" s="47">
        <f t="shared" si="1"/>
        <v>205143.7405</v>
      </c>
      <c r="S61" s="53">
        <f>(R61-O61)/O61</f>
        <v>0.5603844261048149</v>
      </c>
    </row>
    <row r="62" spans="1:19" ht="12.75">
      <c r="A62" s="46"/>
      <c r="B62" s="4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43"/>
    </row>
    <row r="63" spans="15:17" ht="12.75">
      <c r="O63" s="22" t="s">
        <v>488</v>
      </c>
      <c r="Q63" s="56">
        <f>P61-Q61</f>
        <v>1530.7829999999958</v>
      </c>
    </row>
    <row r="64" spans="1:17" ht="12.75">
      <c r="A64" s="25"/>
      <c r="E64" s="22">
        <v>74000</v>
      </c>
      <c r="O64" s="22" t="s">
        <v>761</v>
      </c>
      <c r="Q64" s="56">
        <f>O61-Q61</f>
        <v>-79173.74050000001</v>
      </c>
    </row>
    <row r="65" spans="1:17" ht="12.75">
      <c r="A65" s="25"/>
      <c r="E65" s="22">
        <v>50000</v>
      </c>
      <c r="O65" s="22" t="s">
        <v>436</v>
      </c>
      <c r="Q65" s="56">
        <f>Q61-R61</f>
        <v>5500</v>
      </c>
    </row>
    <row r="67" ht="12.75">
      <c r="A67" s="22" t="s">
        <v>986</v>
      </c>
    </row>
    <row r="68" spans="1:19" ht="12.75">
      <c r="A68" s="41" t="s">
        <v>892</v>
      </c>
      <c r="B68" s="42">
        <v>33.4212</v>
      </c>
      <c r="C68" s="43">
        <v>12000</v>
      </c>
      <c r="D68" s="43">
        <v>12000</v>
      </c>
      <c r="E68" s="43">
        <v>14745</v>
      </c>
      <c r="F68" s="43"/>
      <c r="G68" s="43"/>
      <c r="H68" s="43" t="s">
        <v>810</v>
      </c>
      <c r="I68" s="43">
        <v>14599</v>
      </c>
      <c r="J68" s="43">
        <v>12398</v>
      </c>
      <c r="K68" s="43">
        <v>2968</v>
      </c>
      <c r="L68" s="22" t="s">
        <v>85</v>
      </c>
      <c r="N68" s="31"/>
      <c r="O68" s="43"/>
      <c r="Q68" s="43"/>
      <c r="R68" s="101"/>
      <c r="S68" s="43"/>
    </row>
    <row r="69" ht="12.75">
      <c r="A69" s="22" t="s">
        <v>792</v>
      </c>
    </row>
    <row r="70" ht="12.75">
      <c r="A70" s="22" t="s">
        <v>987</v>
      </c>
    </row>
    <row r="71" ht="12.75">
      <c r="A71" s="22" t="s">
        <v>988</v>
      </c>
    </row>
    <row r="72" ht="12.75">
      <c r="A72" s="22" t="s">
        <v>990</v>
      </c>
    </row>
    <row r="73" ht="12.75">
      <c r="A73" t="s">
        <v>31</v>
      </c>
    </row>
    <row r="101" spans="3:19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3:19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3:19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3:19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3:19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3:19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</sheetData>
  <printOptions gridLines="1"/>
  <pageMargins left="0.25" right="0.25" top="1" bottom="0.55" header="0.5" footer="0.25"/>
  <pageSetup fitToHeight="1" fitToWidth="1" horizontalDpi="300" verticalDpi="300" orientation="landscape" scale="65" r:id="rId3"/>
  <headerFooter alignWithMargins="0">
    <oddFooter>&amp;L&amp;F
&amp;A&amp;CPage &amp;P of &amp;N&amp;R&amp;D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93"/>
  <sheetViews>
    <sheetView zoomScale="75" zoomScaleNormal="75" workbookViewId="0" topLeftCell="A1">
      <selection activeCell="N18" sqref="N18"/>
    </sheetView>
  </sheetViews>
  <sheetFormatPr defaultColWidth="9.140625" defaultRowHeight="12.75"/>
  <cols>
    <col min="1" max="1" width="34.00390625" style="0" customWidth="1"/>
    <col min="3" max="3" width="0.13671875" style="0" hidden="1" customWidth="1"/>
    <col min="4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8" width="10.8515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483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/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686</v>
      </c>
      <c r="B7" s="4">
        <v>51.11</v>
      </c>
      <c r="C7" s="2">
        <v>39627</v>
      </c>
      <c r="D7" s="2">
        <v>38132</v>
      </c>
      <c r="E7" s="2">
        <v>41986</v>
      </c>
      <c r="F7" s="2">
        <v>45282</v>
      </c>
      <c r="G7" s="2">
        <v>46896</v>
      </c>
      <c r="H7" s="2">
        <v>50049</v>
      </c>
      <c r="I7" s="2">
        <v>47830</v>
      </c>
      <c r="J7" s="2">
        <v>49888</v>
      </c>
      <c r="K7" s="2">
        <v>49987</v>
      </c>
      <c r="L7" s="2">
        <v>49830.41</v>
      </c>
      <c r="M7" s="2">
        <v>39438</v>
      </c>
      <c r="N7" s="2">
        <f aca="true" t="shared" si="0" ref="N7:N41">+M7/$M$3*12</f>
        <v>47325.600000000006</v>
      </c>
      <c r="O7" s="2">
        <v>47032</v>
      </c>
      <c r="P7" s="2">
        <v>51861</v>
      </c>
      <c r="Q7" s="2">
        <v>51861.36</v>
      </c>
      <c r="R7" s="2">
        <f>47032+500</f>
        <v>47532</v>
      </c>
      <c r="S7" s="92">
        <f>(R7-O7)/O7</f>
        <v>0.010631059704031299</v>
      </c>
      <c r="T7" s="2" t="s">
        <v>515</v>
      </c>
    </row>
    <row r="8" spans="1:19" ht="12.75">
      <c r="A8" t="s">
        <v>139</v>
      </c>
      <c r="B8" s="4">
        <v>51.22</v>
      </c>
      <c r="C8" s="2">
        <v>2091</v>
      </c>
      <c r="D8" s="2">
        <v>3266</v>
      </c>
      <c r="E8" s="2">
        <v>3561</v>
      </c>
      <c r="F8" s="2">
        <v>3935</v>
      </c>
      <c r="G8" s="2">
        <v>4039</v>
      </c>
      <c r="H8" s="2">
        <v>4199</v>
      </c>
      <c r="I8" s="2">
        <v>4172</v>
      </c>
      <c r="J8" s="2">
        <v>4340</v>
      </c>
      <c r="K8" s="2">
        <v>4231</v>
      </c>
      <c r="L8" s="2">
        <v>4176.63</v>
      </c>
      <c r="M8" s="2">
        <v>3233</v>
      </c>
      <c r="N8" s="2">
        <f t="shared" si="0"/>
        <v>3879.6000000000004</v>
      </c>
      <c r="O8" s="2">
        <v>3598</v>
      </c>
      <c r="P8" s="2">
        <v>3967</v>
      </c>
      <c r="Q8" s="2">
        <f>Q7*0.0765</f>
        <v>3967.39404</v>
      </c>
      <c r="R8" s="2">
        <v>3598</v>
      </c>
      <c r="S8" s="92">
        <f>(R8-O8)/O8</f>
        <v>0</v>
      </c>
    </row>
    <row r="9" spans="1:19" ht="12.75">
      <c r="A9" t="s">
        <v>312</v>
      </c>
      <c r="B9" s="4">
        <v>51.241</v>
      </c>
      <c r="C9" s="2">
        <v>3929</v>
      </c>
      <c r="D9" s="2">
        <v>3881</v>
      </c>
      <c r="E9" s="2">
        <v>3819</v>
      </c>
      <c r="F9" s="2">
        <v>3270</v>
      </c>
      <c r="G9" s="2">
        <v>3380</v>
      </c>
      <c r="H9" s="2">
        <v>3416</v>
      </c>
      <c r="I9" s="2">
        <v>2067</v>
      </c>
      <c r="J9" s="2">
        <v>2827</v>
      </c>
      <c r="K9" s="2">
        <v>2947</v>
      </c>
      <c r="L9" s="2">
        <v>2727</v>
      </c>
      <c r="M9" s="2">
        <v>1355</v>
      </c>
      <c r="N9" s="2">
        <f t="shared" si="0"/>
        <v>1626</v>
      </c>
      <c r="O9" s="2">
        <v>2046</v>
      </c>
      <c r="P9" s="2">
        <v>2200</v>
      </c>
      <c r="Q9" s="2">
        <v>2200</v>
      </c>
      <c r="R9" s="2">
        <v>2046</v>
      </c>
      <c r="S9" s="92">
        <f>(R9-O9)/O9</f>
        <v>0</v>
      </c>
    </row>
    <row r="10" spans="2:19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2"/>
    </row>
    <row r="11" spans="1:20" ht="12.75">
      <c r="A11" t="s">
        <v>196</v>
      </c>
      <c r="B11" s="4">
        <v>52.211</v>
      </c>
      <c r="C11" s="2"/>
      <c r="D11" s="2"/>
      <c r="E11" s="2">
        <v>300</v>
      </c>
      <c r="F11" s="2">
        <v>135</v>
      </c>
      <c r="G11" s="2">
        <v>535</v>
      </c>
      <c r="H11" s="2">
        <v>449</v>
      </c>
      <c r="I11" s="2">
        <v>397</v>
      </c>
      <c r="J11" s="2">
        <v>380</v>
      </c>
      <c r="K11" s="2">
        <v>521</v>
      </c>
      <c r="L11" s="2"/>
      <c r="M11" s="11">
        <v>270</v>
      </c>
      <c r="N11" s="2">
        <f t="shared" si="0"/>
        <v>324</v>
      </c>
      <c r="O11" s="2">
        <v>400</v>
      </c>
      <c r="P11" s="2">
        <v>400</v>
      </c>
      <c r="Q11" s="2">
        <v>400</v>
      </c>
      <c r="R11" s="2">
        <v>400</v>
      </c>
      <c r="S11" s="92">
        <f>(R11-O11)/O11</f>
        <v>0</v>
      </c>
      <c r="T11" s="15"/>
    </row>
    <row r="12" spans="1:22" ht="12.75">
      <c r="A12" t="s">
        <v>162</v>
      </c>
      <c r="B12" s="4">
        <v>52.2204</v>
      </c>
      <c r="C12" s="2">
        <v>612</v>
      </c>
      <c r="D12" s="2">
        <v>781</v>
      </c>
      <c r="E12" s="2">
        <v>611</v>
      </c>
      <c r="F12" s="2">
        <v>450</v>
      </c>
      <c r="G12" s="2">
        <v>468</v>
      </c>
      <c r="H12" s="2">
        <v>486</v>
      </c>
      <c r="I12" s="2">
        <v>672</v>
      </c>
      <c r="J12" s="2">
        <v>944</v>
      </c>
      <c r="K12" s="2">
        <v>342</v>
      </c>
      <c r="L12" s="2">
        <v>471</v>
      </c>
      <c r="M12" s="11">
        <v>303</v>
      </c>
      <c r="N12" s="2">
        <f t="shared" si="0"/>
        <v>363.6</v>
      </c>
      <c r="O12" s="2">
        <v>400</v>
      </c>
      <c r="P12" s="2">
        <v>656</v>
      </c>
      <c r="Q12" s="2">
        <v>400</v>
      </c>
      <c r="R12" s="2">
        <v>400</v>
      </c>
      <c r="S12" s="92">
        <f>(R12-O12)/O12</f>
        <v>0</v>
      </c>
      <c r="V12" s="11"/>
    </row>
    <row r="13" spans="1:19" ht="12.75" hidden="1">
      <c r="A13" t="s">
        <v>199</v>
      </c>
      <c r="B13" s="4">
        <v>52.2205</v>
      </c>
      <c r="C13" s="2"/>
      <c r="D13" s="2"/>
      <c r="E13" s="2">
        <v>75</v>
      </c>
      <c r="F13" s="2"/>
      <c r="G13" s="2"/>
      <c r="H13" s="2"/>
      <c r="I13" s="2"/>
      <c r="J13" s="2"/>
      <c r="K13" s="2"/>
      <c r="L13" s="2"/>
      <c r="N13" s="2">
        <f t="shared" si="0"/>
        <v>0</v>
      </c>
      <c r="O13" s="2"/>
      <c r="P13" s="2"/>
      <c r="Q13" s="2"/>
      <c r="R13" s="2"/>
      <c r="S13" s="92"/>
    </row>
    <row r="14" spans="1:22" ht="12.75" hidden="1">
      <c r="A14" t="s">
        <v>268</v>
      </c>
      <c r="B14" s="4">
        <v>52.2206</v>
      </c>
      <c r="C14" s="2"/>
      <c r="D14" s="2"/>
      <c r="E14" s="2">
        <v>25</v>
      </c>
      <c r="F14" s="2"/>
      <c r="G14" s="2">
        <v>225</v>
      </c>
      <c r="H14" s="2"/>
      <c r="I14" s="2"/>
      <c r="J14" s="2"/>
      <c r="K14" s="2">
        <v>80</v>
      </c>
      <c r="L14" s="2">
        <v>464</v>
      </c>
      <c r="N14" s="2">
        <f t="shared" si="0"/>
        <v>0</v>
      </c>
      <c r="O14" s="2"/>
      <c r="P14" s="2"/>
      <c r="Q14" s="2"/>
      <c r="R14" s="2"/>
      <c r="S14" s="92"/>
      <c r="V14" s="11"/>
    </row>
    <row r="15" spans="1:22" ht="12.75">
      <c r="A15" t="s">
        <v>141</v>
      </c>
      <c r="B15" s="4">
        <v>52.32</v>
      </c>
      <c r="C15" s="2">
        <v>3720</v>
      </c>
      <c r="D15" s="2">
        <v>3618</v>
      </c>
      <c r="E15" s="2">
        <v>3841</v>
      </c>
      <c r="F15" s="2">
        <v>3512</v>
      </c>
      <c r="G15" s="2">
        <v>3446</v>
      </c>
      <c r="H15" s="2">
        <v>3697</v>
      </c>
      <c r="I15" s="2">
        <v>4072</v>
      </c>
      <c r="J15" s="2">
        <v>4256</v>
      </c>
      <c r="K15" s="2">
        <v>3475</v>
      </c>
      <c r="L15" s="2">
        <v>3663</v>
      </c>
      <c r="M15" s="11">
        <v>3292</v>
      </c>
      <c r="N15" s="2">
        <f t="shared" si="0"/>
        <v>3950.3999999999996</v>
      </c>
      <c r="O15" s="2">
        <v>3500</v>
      </c>
      <c r="P15" s="2">
        <v>3500</v>
      </c>
      <c r="Q15" s="2">
        <v>3500</v>
      </c>
      <c r="R15" s="2">
        <v>3500</v>
      </c>
      <c r="S15" s="92">
        <f>(R15-O15)/O15</f>
        <v>0</v>
      </c>
      <c r="V15" s="11"/>
    </row>
    <row r="16" spans="1:19" ht="12.75">
      <c r="A16" t="s">
        <v>142</v>
      </c>
      <c r="B16" s="4">
        <v>52.321</v>
      </c>
      <c r="C16" s="2">
        <v>210</v>
      </c>
      <c r="D16" s="2">
        <v>244</v>
      </c>
      <c r="E16" s="2">
        <v>47</v>
      </c>
      <c r="F16" s="2">
        <v>241</v>
      </c>
      <c r="G16" s="2">
        <v>296</v>
      </c>
      <c r="H16" s="2">
        <v>259</v>
      </c>
      <c r="I16" s="2">
        <v>222</v>
      </c>
      <c r="J16" s="2">
        <v>300</v>
      </c>
      <c r="K16" s="2">
        <v>173</v>
      </c>
      <c r="L16" s="2">
        <v>251</v>
      </c>
      <c r="M16" s="11">
        <v>30</v>
      </c>
      <c r="N16" s="2">
        <f t="shared" si="0"/>
        <v>36</v>
      </c>
      <c r="O16" s="2">
        <v>30</v>
      </c>
      <c r="P16" s="2">
        <v>250</v>
      </c>
      <c r="Q16" s="2">
        <v>30</v>
      </c>
      <c r="R16" s="2">
        <v>30</v>
      </c>
      <c r="S16" s="92">
        <f>(R16-O16)/O16</f>
        <v>0</v>
      </c>
    </row>
    <row r="17" spans="1:19" ht="11.25" customHeight="1">
      <c r="A17" t="s">
        <v>154</v>
      </c>
      <c r="B17" s="4">
        <v>52.35</v>
      </c>
      <c r="C17" s="2">
        <v>2596</v>
      </c>
      <c r="D17" s="2">
        <v>1770</v>
      </c>
      <c r="E17" s="2">
        <v>2587</v>
      </c>
      <c r="F17" s="2">
        <v>1909</v>
      </c>
      <c r="G17" s="2">
        <v>1983</v>
      </c>
      <c r="H17" s="2">
        <v>1260</v>
      </c>
      <c r="I17" s="2">
        <v>951</v>
      </c>
      <c r="J17" s="2">
        <v>739</v>
      </c>
      <c r="K17" s="2">
        <v>641</v>
      </c>
      <c r="L17" s="2">
        <v>567</v>
      </c>
      <c r="M17" s="11">
        <v>320</v>
      </c>
      <c r="N17" s="2">
        <f t="shared" si="0"/>
        <v>384</v>
      </c>
      <c r="O17" s="2">
        <v>479</v>
      </c>
      <c r="P17" s="2">
        <v>1228</v>
      </c>
      <c r="Q17" s="2">
        <v>480</v>
      </c>
      <c r="R17" s="2">
        <v>479</v>
      </c>
      <c r="S17" s="92">
        <f>(R17-O17)/O17</f>
        <v>0</v>
      </c>
    </row>
    <row r="18" spans="1:19" ht="12.75">
      <c r="A18" t="s">
        <v>144</v>
      </c>
      <c r="B18" s="4">
        <v>52.3602</v>
      </c>
      <c r="C18" s="2"/>
      <c r="D18" s="2">
        <v>200</v>
      </c>
      <c r="E18" s="2">
        <v>420</v>
      </c>
      <c r="F18" s="2">
        <v>350</v>
      </c>
      <c r="G18" s="2">
        <v>355</v>
      </c>
      <c r="H18" s="2"/>
      <c r="I18" s="2"/>
      <c r="J18" s="2"/>
      <c r="K18" s="2"/>
      <c r="L18" s="2"/>
      <c r="N18" s="2"/>
      <c r="O18" s="2"/>
      <c r="P18" s="2"/>
      <c r="Q18" s="2"/>
      <c r="R18" s="2"/>
      <c r="S18" s="92"/>
    </row>
    <row r="19" spans="1:19" ht="12.75">
      <c r="A19" t="s">
        <v>155</v>
      </c>
      <c r="B19" s="4">
        <v>52.37</v>
      </c>
      <c r="C19" s="2"/>
      <c r="D19" s="2"/>
      <c r="E19" s="2">
        <v>650</v>
      </c>
      <c r="F19" s="2">
        <v>375</v>
      </c>
      <c r="G19" s="2">
        <v>862</v>
      </c>
      <c r="H19" s="2">
        <v>905</v>
      </c>
      <c r="I19" s="2"/>
      <c r="J19" s="2">
        <v>30</v>
      </c>
      <c r="K19" s="2">
        <v>1160</v>
      </c>
      <c r="L19" s="2">
        <v>795</v>
      </c>
      <c r="M19" s="11">
        <v>150</v>
      </c>
      <c r="N19" s="2">
        <f t="shared" si="0"/>
        <v>180</v>
      </c>
      <c r="O19" s="2">
        <v>150</v>
      </c>
      <c r="P19" s="2">
        <v>1785</v>
      </c>
      <c r="Q19" s="2">
        <v>150</v>
      </c>
      <c r="R19" s="2">
        <v>150</v>
      </c>
      <c r="S19" s="92"/>
    </row>
    <row r="20" spans="2:19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</row>
    <row r="21" spans="1:20" ht="12.75">
      <c r="A21" t="s">
        <v>148</v>
      </c>
      <c r="B21" s="4">
        <v>53.12</v>
      </c>
      <c r="C21" s="2">
        <v>7013</v>
      </c>
      <c r="D21" s="2">
        <v>6976</v>
      </c>
      <c r="E21" s="2">
        <v>142</v>
      </c>
      <c r="F21" s="2">
        <v>6704</v>
      </c>
      <c r="G21" s="2">
        <v>8790</v>
      </c>
      <c r="H21" s="2">
        <v>8778</v>
      </c>
      <c r="I21" s="2">
        <v>7996</v>
      </c>
      <c r="J21" s="2">
        <v>6842</v>
      </c>
      <c r="K21" s="2">
        <v>6607</v>
      </c>
      <c r="L21" s="2">
        <v>8056</v>
      </c>
      <c r="M21" s="2">
        <v>6056</v>
      </c>
      <c r="N21" s="2">
        <f t="shared" si="0"/>
        <v>7267.200000000001</v>
      </c>
      <c r="O21" s="2">
        <v>7400</v>
      </c>
      <c r="P21" s="2">
        <v>8100</v>
      </c>
      <c r="Q21" s="2">
        <v>7400</v>
      </c>
      <c r="R21" s="2">
        <v>7400</v>
      </c>
      <c r="S21" s="92">
        <f>(R21-O21)/O21</f>
        <v>0</v>
      </c>
      <c r="T21" t="s">
        <v>371</v>
      </c>
    </row>
    <row r="22" spans="1:19" ht="12.75" hidden="1">
      <c r="A22" t="s">
        <v>382</v>
      </c>
      <c r="B22" s="4">
        <v>53.121</v>
      </c>
      <c r="C22" s="2"/>
      <c r="D22" s="2"/>
      <c r="E22" s="2">
        <v>544</v>
      </c>
      <c r="F22" s="2"/>
      <c r="G22" s="2"/>
      <c r="H22" s="2"/>
      <c r="I22" s="2"/>
      <c r="J22" s="2"/>
      <c r="K22" s="2"/>
      <c r="L22" s="2"/>
      <c r="N22" s="2">
        <f t="shared" si="0"/>
        <v>0</v>
      </c>
      <c r="O22" s="2"/>
      <c r="P22" s="2"/>
      <c r="Q22" s="2"/>
      <c r="R22" s="2"/>
      <c r="S22" s="92"/>
    </row>
    <row r="23" spans="1:19" ht="12.75" hidden="1">
      <c r="A23" t="s">
        <v>383</v>
      </c>
      <c r="B23" s="4">
        <v>53.122</v>
      </c>
      <c r="C23" s="2"/>
      <c r="D23" s="2"/>
      <c r="E23" s="2">
        <v>1666</v>
      </c>
      <c r="F23" s="2"/>
      <c r="G23" s="2"/>
      <c r="H23" s="2"/>
      <c r="I23" s="2"/>
      <c r="J23" s="2"/>
      <c r="K23" s="2"/>
      <c r="L23" s="2"/>
      <c r="N23" s="2">
        <f t="shared" si="0"/>
        <v>0</v>
      </c>
      <c r="O23" s="2"/>
      <c r="P23" s="2"/>
      <c r="Q23" s="2"/>
      <c r="R23" s="2"/>
      <c r="S23" s="92"/>
    </row>
    <row r="24" spans="1:19" ht="12.75" hidden="1">
      <c r="A24" t="s">
        <v>369</v>
      </c>
      <c r="B24" s="4">
        <v>53.123</v>
      </c>
      <c r="C24" s="2"/>
      <c r="D24" s="2"/>
      <c r="E24" s="2">
        <v>5115</v>
      </c>
      <c r="F24" s="2"/>
      <c r="G24" s="2"/>
      <c r="H24" s="2"/>
      <c r="I24" s="2"/>
      <c r="J24" s="2"/>
      <c r="K24" s="2"/>
      <c r="L24" s="2"/>
      <c r="N24" s="2">
        <f t="shared" si="0"/>
        <v>0</v>
      </c>
      <c r="O24" s="2"/>
      <c r="P24" s="2"/>
      <c r="Q24" s="2"/>
      <c r="R24" s="2"/>
      <c r="S24" s="92"/>
    </row>
    <row r="25" spans="1:19" ht="12.75">
      <c r="A25" t="s">
        <v>200</v>
      </c>
      <c r="B25" s="4">
        <v>53.1702</v>
      </c>
      <c r="C25" s="2">
        <v>135</v>
      </c>
      <c r="D25" s="2">
        <v>76</v>
      </c>
      <c r="E25" s="2">
        <v>3</v>
      </c>
      <c r="F25" s="2"/>
      <c r="G25" s="2">
        <v>26</v>
      </c>
      <c r="H25" s="2">
        <v>153</v>
      </c>
      <c r="I25" s="2">
        <v>89</v>
      </c>
      <c r="J25" s="2">
        <v>78</v>
      </c>
      <c r="K25" s="2">
        <v>103</v>
      </c>
      <c r="L25" s="2">
        <v>82</v>
      </c>
      <c r="M25" s="2">
        <v>122</v>
      </c>
      <c r="N25" s="2">
        <f t="shared" si="0"/>
        <v>146.39999999999998</v>
      </c>
      <c r="O25" s="2">
        <v>100</v>
      </c>
      <c r="P25" s="2">
        <v>367</v>
      </c>
      <c r="Q25" s="2">
        <v>100</v>
      </c>
      <c r="R25" s="2">
        <v>100</v>
      </c>
      <c r="S25" s="92">
        <f>(R25-O25)/O25</f>
        <v>0</v>
      </c>
    </row>
    <row r="26" spans="1:19" ht="12.75">
      <c r="A26" t="s">
        <v>149</v>
      </c>
      <c r="B26" s="4">
        <v>53.171</v>
      </c>
      <c r="C26" s="2">
        <v>1384</v>
      </c>
      <c r="D26" s="2">
        <v>1110</v>
      </c>
      <c r="E26" s="2">
        <v>1426</v>
      </c>
      <c r="F26" s="2">
        <v>1292</v>
      </c>
      <c r="G26" s="2">
        <v>1336</v>
      </c>
      <c r="H26" s="2">
        <v>864</v>
      </c>
      <c r="I26" s="2">
        <v>887</v>
      </c>
      <c r="J26" s="2">
        <v>1170</v>
      </c>
      <c r="K26" s="2">
        <v>1560</v>
      </c>
      <c r="L26" s="2">
        <v>1471</v>
      </c>
      <c r="M26" s="2">
        <v>259</v>
      </c>
      <c r="N26" s="2">
        <f t="shared" si="0"/>
        <v>310.79999999999995</v>
      </c>
      <c r="O26" s="2">
        <v>490</v>
      </c>
      <c r="P26" s="2">
        <v>916</v>
      </c>
      <c r="Q26" s="2">
        <v>490</v>
      </c>
      <c r="R26" s="2">
        <v>490</v>
      </c>
      <c r="S26" s="92">
        <f>(R26-O26)/O26</f>
        <v>0</v>
      </c>
    </row>
    <row r="27" spans="1:19" ht="12.75">
      <c r="A27" t="s">
        <v>260</v>
      </c>
      <c r="B27" s="4">
        <v>53.172</v>
      </c>
      <c r="C27" s="2">
        <v>2504</v>
      </c>
      <c r="D27" s="2">
        <v>2703</v>
      </c>
      <c r="E27" s="2">
        <v>671</v>
      </c>
      <c r="F27" s="2">
        <v>969</v>
      </c>
      <c r="G27" s="2">
        <v>647</v>
      </c>
      <c r="H27" s="2">
        <v>384</v>
      </c>
      <c r="I27" s="2">
        <v>419</v>
      </c>
      <c r="J27" s="2">
        <v>538</v>
      </c>
      <c r="K27" s="2">
        <v>543</v>
      </c>
      <c r="L27" s="2">
        <f>208+199</f>
        <v>407</v>
      </c>
      <c r="M27" s="2">
        <v>113</v>
      </c>
      <c r="N27" s="2">
        <f t="shared" si="0"/>
        <v>135.60000000000002</v>
      </c>
      <c r="O27" s="2">
        <v>208</v>
      </c>
      <c r="P27" s="2">
        <v>997</v>
      </c>
      <c r="Q27" s="2">
        <v>208</v>
      </c>
      <c r="R27" s="2">
        <v>208</v>
      </c>
      <c r="S27" s="92">
        <f>(R27-O27)/O27</f>
        <v>0</v>
      </c>
    </row>
    <row r="28" spans="1:19" ht="12.75">
      <c r="A28" t="s">
        <v>188</v>
      </c>
      <c r="B28" s="4">
        <v>53.175</v>
      </c>
      <c r="C28" s="2">
        <v>6</v>
      </c>
      <c r="D28" s="2">
        <v>38</v>
      </c>
      <c r="E28" s="2">
        <v>51</v>
      </c>
      <c r="F28" s="2">
        <v>15</v>
      </c>
      <c r="G28" s="2">
        <v>576</v>
      </c>
      <c r="H28" s="2">
        <v>93</v>
      </c>
      <c r="I28" s="2">
        <v>73</v>
      </c>
      <c r="J28" s="2">
        <v>23</v>
      </c>
      <c r="K28" s="2">
        <v>1083</v>
      </c>
      <c r="L28" s="2">
        <v>414</v>
      </c>
      <c r="M28" s="2">
        <v>105</v>
      </c>
      <c r="N28" s="2">
        <f t="shared" si="0"/>
        <v>126</v>
      </c>
      <c r="O28" s="2">
        <v>100</v>
      </c>
      <c r="P28" s="2">
        <v>600</v>
      </c>
      <c r="Q28" s="2">
        <v>100</v>
      </c>
      <c r="R28" s="2">
        <v>100</v>
      </c>
      <c r="S28" s="92">
        <f>(R28-O28)/O28</f>
        <v>0</v>
      </c>
    </row>
    <row r="29" spans="1:19" ht="12.75">
      <c r="A29" t="s">
        <v>177</v>
      </c>
      <c r="B29" s="4">
        <v>53.176</v>
      </c>
      <c r="C29" s="2">
        <v>12</v>
      </c>
      <c r="D29" s="2">
        <v>14</v>
      </c>
      <c r="E29" s="2">
        <v>31</v>
      </c>
      <c r="F29" s="2">
        <v>21</v>
      </c>
      <c r="G29" s="2">
        <v>44</v>
      </c>
      <c r="H29" s="2">
        <v>22</v>
      </c>
      <c r="I29" s="2">
        <v>32</v>
      </c>
      <c r="J29" s="2">
        <v>24</v>
      </c>
      <c r="K29" s="2">
        <v>53</v>
      </c>
      <c r="L29" s="2">
        <v>53</v>
      </c>
      <c r="M29" s="2">
        <v>115</v>
      </c>
      <c r="N29" s="2">
        <f t="shared" si="0"/>
        <v>138</v>
      </c>
      <c r="O29" s="2">
        <v>50</v>
      </c>
      <c r="P29" s="2">
        <v>75</v>
      </c>
      <c r="Q29" s="2">
        <v>50</v>
      </c>
      <c r="R29" s="2">
        <v>50</v>
      </c>
      <c r="S29" s="92">
        <f>(R29-O29)/O29</f>
        <v>0</v>
      </c>
    </row>
    <row r="30" spans="1:19" ht="12.75">
      <c r="A30" t="s">
        <v>972</v>
      </c>
      <c r="B30" s="4">
        <v>53.1737</v>
      </c>
      <c r="C30" s="2"/>
      <c r="D30" s="2"/>
      <c r="E30" s="2"/>
      <c r="F30" s="2"/>
      <c r="G30" s="2">
        <v>344</v>
      </c>
      <c r="H30" s="2"/>
      <c r="I30" s="2">
        <v>162</v>
      </c>
      <c r="J30" s="2"/>
      <c r="K30" s="2">
        <v>722</v>
      </c>
      <c r="L30" s="2">
        <v>418</v>
      </c>
      <c r="M30" s="2"/>
      <c r="N30" s="2">
        <f t="shared" si="0"/>
        <v>0</v>
      </c>
      <c r="O30" s="2">
        <v>150</v>
      </c>
      <c r="P30" s="2"/>
      <c r="Q30" s="2">
        <v>150</v>
      </c>
      <c r="R30" s="2">
        <v>150</v>
      </c>
      <c r="S30" s="92"/>
    </row>
    <row r="31" spans="1:19" ht="12.75">
      <c r="A31" t="s">
        <v>178</v>
      </c>
      <c r="B31" s="4">
        <v>53.177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400</v>
      </c>
      <c r="Q31" s="2"/>
      <c r="R31" s="2"/>
      <c r="S31" s="92"/>
    </row>
    <row r="32" spans="1:19" ht="12.75">
      <c r="A32" t="s">
        <v>179</v>
      </c>
      <c r="B32" s="4">
        <v>53.179</v>
      </c>
      <c r="C32" s="2">
        <v>324</v>
      </c>
      <c r="D32" s="2">
        <v>655</v>
      </c>
      <c r="E32" s="2">
        <v>813</v>
      </c>
      <c r="F32" s="2">
        <v>507</v>
      </c>
      <c r="G32" s="2">
        <v>672</v>
      </c>
      <c r="H32" s="2">
        <v>617</v>
      </c>
      <c r="I32" s="2">
        <v>1004</v>
      </c>
      <c r="J32" s="2">
        <v>1233</v>
      </c>
      <c r="K32" s="2">
        <v>1808</v>
      </c>
      <c r="L32" s="2">
        <v>1903</v>
      </c>
      <c r="M32" s="2">
        <v>1014</v>
      </c>
      <c r="N32" s="2">
        <f t="shared" si="0"/>
        <v>1216.8000000000002</v>
      </c>
      <c r="O32" s="2">
        <v>1600</v>
      </c>
      <c r="P32" s="2">
        <v>1758</v>
      </c>
      <c r="Q32" s="2">
        <v>1600</v>
      </c>
      <c r="R32" s="2">
        <v>1600</v>
      </c>
      <c r="S32" s="92">
        <f>(R32-O32)/O32</f>
        <v>0</v>
      </c>
    </row>
    <row r="33" spans="1:19" ht="12.75">
      <c r="A33" t="s">
        <v>175</v>
      </c>
      <c r="B33" s="4">
        <v>52.2206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2"/>
    </row>
    <row r="34" spans="1:19" ht="12.75">
      <c r="A34" t="s">
        <v>191</v>
      </c>
      <c r="B34" s="4"/>
      <c r="C34" s="2"/>
      <c r="D34" s="2"/>
      <c r="E34" s="2"/>
      <c r="F34" s="2"/>
      <c r="G34" s="2"/>
      <c r="H34" s="2"/>
      <c r="I34" s="2"/>
      <c r="J34" s="2"/>
      <c r="K34" s="2">
        <v>180</v>
      </c>
      <c r="L34" s="2"/>
      <c r="M34" s="2"/>
      <c r="N34" s="2"/>
      <c r="O34" s="2"/>
      <c r="P34" s="2">
        <v>180</v>
      </c>
      <c r="Q34" s="2"/>
      <c r="R34" s="2"/>
      <c r="S34" s="92"/>
    </row>
    <row r="35" spans="1:19" ht="12.75">
      <c r="A35" t="s">
        <v>972</v>
      </c>
      <c r="B35" s="4">
        <v>53.1737</v>
      </c>
      <c r="C35" s="2"/>
      <c r="D35" s="2"/>
      <c r="E35" s="2"/>
      <c r="F35" s="2"/>
      <c r="G35" s="2"/>
      <c r="H35" s="2"/>
      <c r="I35" s="2">
        <v>85</v>
      </c>
      <c r="J35" s="2"/>
      <c r="K35" s="2"/>
      <c r="L35" s="2"/>
      <c r="M35" s="2"/>
      <c r="N35" s="2"/>
      <c r="O35" s="2"/>
      <c r="P35" s="2"/>
      <c r="Q35" s="2"/>
      <c r="R35" s="2"/>
      <c r="S35" s="92"/>
    </row>
    <row r="36" spans="1:20" ht="12.75">
      <c r="A36" t="s">
        <v>366</v>
      </c>
      <c r="B36" s="4"/>
      <c r="C36" s="2"/>
      <c r="D36" s="2"/>
      <c r="E36" s="2"/>
      <c r="F36" s="2"/>
      <c r="G36" s="2"/>
      <c r="H36" s="2">
        <v>800</v>
      </c>
      <c r="I36" s="2">
        <v>900</v>
      </c>
      <c r="J36" s="2">
        <v>425</v>
      </c>
      <c r="K36" s="2">
        <v>700</v>
      </c>
      <c r="L36" s="2"/>
      <c r="M36" s="2"/>
      <c r="N36" s="2"/>
      <c r="O36" s="2"/>
      <c r="P36" s="2"/>
      <c r="Q36" s="2"/>
      <c r="R36" s="2"/>
      <c r="S36" s="92"/>
      <c r="T36" s="10"/>
    </row>
    <row r="37" spans="1:19" ht="12.75">
      <c r="A37" t="s">
        <v>512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92"/>
    </row>
    <row r="38" spans="1:19" ht="12.75">
      <c r="A38" t="s">
        <v>384</v>
      </c>
      <c r="B38" s="4">
        <v>54.24</v>
      </c>
      <c r="C38" s="2"/>
      <c r="D38" s="2"/>
      <c r="E38" s="2"/>
      <c r="F38" s="2"/>
      <c r="G38" s="2"/>
      <c r="H38" s="2"/>
      <c r="I38" s="2"/>
      <c r="J38" s="2">
        <v>6495</v>
      </c>
      <c r="K38" s="2">
        <v>1364</v>
      </c>
      <c r="L38" s="2">
        <v>1186</v>
      </c>
      <c r="M38" s="2">
        <v>400</v>
      </c>
      <c r="N38" s="2">
        <v>400</v>
      </c>
      <c r="O38" s="2"/>
      <c r="P38" s="2">
        <v>1200</v>
      </c>
      <c r="Q38" s="2"/>
      <c r="R38" s="2"/>
      <c r="S38" s="92"/>
    </row>
    <row r="39" spans="1:19" ht="12.75">
      <c r="A39" t="s">
        <v>513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92"/>
    </row>
    <row r="40" spans="1:19" ht="12.75">
      <c r="A40" t="s">
        <v>178</v>
      </c>
      <c r="B40" s="4" t="s">
        <v>117</v>
      </c>
      <c r="C40" s="2">
        <v>69</v>
      </c>
      <c r="D40" s="2">
        <v>268</v>
      </c>
      <c r="E40" s="2"/>
      <c r="F40" s="2"/>
      <c r="G40" s="2"/>
      <c r="H40" s="2"/>
      <c r="I40" s="2"/>
      <c r="J40" s="2"/>
      <c r="K40" s="2"/>
      <c r="L40" s="2"/>
      <c r="M40" s="2"/>
      <c r="N40" s="2">
        <f t="shared" si="0"/>
        <v>0</v>
      </c>
      <c r="O40" s="2"/>
      <c r="P40" s="2"/>
      <c r="Q40" s="2"/>
      <c r="R40" s="2"/>
      <c r="S40" s="92"/>
    </row>
    <row r="41" spans="1:19" ht="12.75">
      <c r="A41" t="s">
        <v>331</v>
      </c>
      <c r="B41" s="4" t="s">
        <v>117</v>
      </c>
      <c r="C41" s="2"/>
      <c r="D41" s="2">
        <v>300</v>
      </c>
      <c r="E41" s="2"/>
      <c r="F41" s="2"/>
      <c r="G41" s="2"/>
      <c r="H41" s="2"/>
      <c r="I41" s="2"/>
      <c r="J41" s="2"/>
      <c r="K41" s="2"/>
      <c r="L41" s="2"/>
      <c r="M41" s="2"/>
      <c r="N41" s="2">
        <f t="shared" si="0"/>
        <v>0</v>
      </c>
      <c r="O41" s="2"/>
      <c r="P41" s="2"/>
      <c r="Q41" s="2"/>
      <c r="R41" s="2"/>
      <c r="S41" s="92"/>
    </row>
    <row r="42" spans="1:19" ht="12.75">
      <c r="A42" t="s">
        <v>830</v>
      </c>
      <c r="B42" s="4"/>
      <c r="C42" s="5"/>
      <c r="D42" s="5"/>
      <c r="E42" s="5"/>
      <c r="F42" s="5"/>
      <c r="G42" s="5"/>
      <c r="H42" s="5"/>
      <c r="I42" s="5"/>
      <c r="J42" s="5"/>
      <c r="K42" s="5">
        <v>3018</v>
      </c>
      <c r="L42" s="5"/>
      <c r="M42" s="2"/>
      <c r="N42" s="2"/>
      <c r="O42" s="5"/>
      <c r="P42" s="5"/>
      <c r="Q42" s="5"/>
      <c r="R42" s="5"/>
      <c r="S42" s="52"/>
    </row>
    <row r="43" spans="1:19" ht="12.75">
      <c r="A43" s="6" t="s">
        <v>116</v>
      </c>
      <c r="B43" s="6"/>
      <c r="C43" s="7">
        <f aca="true" t="shared" si="1" ref="C43:I43">SUM(C7:C42)</f>
        <v>64232</v>
      </c>
      <c r="D43" s="8">
        <f t="shared" si="1"/>
        <v>64032</v>
      </c>
      <c r="E43" s="8">
        <f t="shared" si="1"/>
        <v>68384</v>
      </c>
      <c r="F43" s="8">
        <f t="shared" si="1"/>
        <v>68967</v>
      </c>
      <c r="G43" s="8">
        <f t="shared" si="1"/>
        <v>74920</v>
      </c>
      <c r="H43" s="8">
        <f t="shared" si="1"/>
        <v>76431</v>
      </c>
      <c r="I43" s="8">
        <f t="shared" si="1"/>
        <v>72030</v>
      </c>
      <c r="J43" s="8">
        <v>81267</v>
      </c>
      <c r="K43" s="8">
        <f aca="true" t="shared" si="2" ref="K43:P43">SUM(K7:K42)</f>
        <v>81298</v>
      </c>
      <c r="L43" s="8">
        <v>76933</v>
      </c>
      <c r="M43" s="8">
        <f t="shared" si="2"/>
        <v>56575</v>
      </c>
      <c r="N43" s="8">
        <f t="shared" si="2"/>
        <v>67810.00000000001</v>
      </c>
      <c r="O43" s="8">
        <f>SUM(O7:O42)</f>
        <v>67733</v>
      </c>
      <c r="P43" s="8">
        <f t="shared" si="2"/>
        <v>80440</v>
      </c>
      <c r="Q43" s="8">
        <f>SUM(Q7:Q42)</f>
        <v>73086.75404</v>
      </c>
      <c r="R43" s="8">
        <f>SUM(R7:R42)</f>
        <v>68233</v>
      </c>
      <c r="S43" s="52">
        <f>(R43-O43)/O43</f>
        <v>0.007381926092155966</v>
      </c>
    </row>
    <row r="44" ht="12.75">
      <c r="S44" s="52"/>
    </row>
    <row r="45" spans="15:19" ht="12.75">
      <c r="O45" s="22" t="s">
        <v>488</v>
      </c>
      <c r="P45" s="22"/>
      <c r="Q45" s="56">
        <f>P43-Q43</f>
        <v>7353.24596</v>
      </c>
      <c r="S45" s="52"/>
    </row>
    <row r="46" spans="15:19" ht="12.75">
      <c r="O46" s="22" t="s">
        <v>761</v>
      </c>
      <c r="P46" s="22"/>
      <c r="Q46" s="56">
        <f>O43-Q43</f>
        <v>-5353.75404</v>
      </c>
      <c r="S46" s="52"/>
    </row>
    <row r="47" spans="15:19" ht="12.75">
      <c r="O47" s="22" t="s">
        <v>436</v>
      </c>
      <c r="P47" s="22"/>
      <c r="Q47" s="56">
        <f>Q43-R43</f>
        <v>4853.75404</v>
      </c>
      <c r="S47" s="52"/>
    </row>
    <row r="48" spans="15:19" ht="12.75">
      <c r="O48" s="22"/>
      <c r="P48" s="22"/>
      <c r="Q48" s="56"/>
      <c r="S48" s="52"/>
    </row>
    <row r="49" spans="1:19" ht="12.75">
      <c r="A49" s="33" t="s">
        <v>371</v>
      </c>
      <c r="B49" s="33" t="s">
        <v>651</v>
      </c>
      <c r="S49" s="52"/>
    </row>
    <row r="50" spans="1:19" ht="12.75">
      <c r="A50" t="s">
        <v>45</v>
      </c>
      <c r="S50" s="52"/>
    </row>
    <row r="51" spans="1:19" ht="12.75">
      <c r="A51" s="33" t="s">
        <v>1045</v>
      </c>
      <c r="N51" s="2"/>
      <c r="S51" s="52"/>
    </row>
    <row r="52" spans="14:19" ht="12.75">
      <c r="N52" s="2"/>
      <c r="O52" s="5"/>
      <c r="S52" s="52"/>
    </row>
    <row r="53" spans="14:19" ht="12.75">
      <c r="N53" s="2"/>
      <c r="O53" s="5"/>
      <c r="S53" s="52"/>
    </row>
    <row r="54" spans="14:19" ht="12.75">
      <c r="N54" s="2"/>
      <c r="O54" s="5"/>
      <c r="S54" s="52"/>
    </row>
    <row r="55" spans="14:19" ht="12.75">
      <c r="N55" s="2"/>
      <c r="S55" s="52"/>
    </row>
    <row r="56" spans="14:19" ht="12.75">
      <c r="N56" s="2"/>
      <c r="S56" s="52"/>
    </row>
    <row r="57" spans="14:19" ht="12.75">
      <c r="N57" s="2"/>
      <c r="S57" s="52"/>
    </row>
    <row r="58" ht="12.75">
      <c r="N58" s="2"/>
    </row>
    <row r="59" ht="12.75">
      <c r="N59" s="2"/>
    </row>
    <row r="60" spans="14:15" ht="12.75">
      <c r="N60" s="2"/>
      <c r="O60" s="5"/>
    </row>
    <row r="61" ht="12.75">
      <c r="N61" s="2"/>
    </row>
    <row r="62" ht="12.75">
      <c r="N62" s="2"/>
    </row>
    <row r="63" ht="12.75">
      <c r="N63" s="2"/>
    </row>
    <row r="64" ht="12.75">
      <c r="N64" s="2"/>
    </row>
    <row r="65" spans="14:15" ht="12.75">
      <c r="N65" s="2"/>
      <c r="O65" s="5"/>
    </row>
    <row r="66" ht="12.75">
      <c r="N66" s="2"/>
    </row>
    <row r="67" ht="12.75">
      <c r="N67" s="2"/>
    </row>
    <row r="68" ht="12.75">
      <c r="N68" s="2"/>
    </row>
    <row r="69" ht="12.75">
      <c r="N69" s="2"/>
    </row>
    <row r="70" ht="12.75">
      <c r="S70" s="2"/>
    </row>
    <row r="71" ht="12.75">
      <c r="S71" s="2"/>
    </row>
    <row r="72" spans="15:19" ht="12.75">
      <c r="O72" s="5"/>
      <c r="S72" s="2"/>
    </row>
    <row r="73" spans="15:19" ht="12.75">
      <c r="O73" s="5"/>
      <c r="S73" s="2"/>
    </row>
    <row r="74" ht="12.75">
      <c r="S74" s="2"/>
    </row>
    <row r="75" ht="12.75">
      <c r="S75" s="2"/>
    </row>
    <row r="84" spans="12:14" ht="12.75">
      <c r="L84" s="2"/>
      <c r="M84" s="2"/>
      <c r="N84" s="2"/>
    </row>
    <row r="85" spans="12:14" ht="12.75">
      <c r="L85" s="2"/>
      <c r="M85" s="2"/>
      <c r="N85" s="2"/>
    </row>
    <row r="86" spans="12:14" ht="12.75">
      <c r="L86" s="2"/>
      <c r="M86" s="2"/>
      <c r="N86" s="2"/>
    </row>
    <row r="87" spans="12:14" ht="12.75">
      <c r="L87" s="2"/>
      <c r="M87" s="2"/>
      <c r="N87" s="2"/>
    </row>
    <row r="88" spans="3:18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O93" s="2"/>
      <c r="P93" s="2"/>
      <c r="Q93" s="2"/>
      <c r="R9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U70"/>
  <sheetViews>
    <sheetView zoomScale="75" zoomScaleNormal="75" workbookViewId="0" topLeftCell="A1">
      <selection activeCell="S7" sqref="S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0.13671875" style="0" hidden="1" customWidth="1"/>
    <col min="8" max="9" width="11.7109375" style="0" hidden="1" customWidth="1"/>
    <col min="10" max="13" width="11.7109375" style="0" customWidth="1"/>
    <col min="14" max="14" width="13.421875" style="0" bestFit="1" customWidth="1"/>
    <col min="15" max="15" width="11.7109375" style="0" customWidth="1"/>
    <col min="16" max="16" width="9.7109375" style="0" bestFit="1" customWidth="1"/>
    <col min="17" max="17" width="10.7109375" style="0" bestFit="1" customWidth="1"/>
    <col min="18" max="18" width="9.710937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484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713</v>
      </c>
      <c r="B7" s="4">
        <v>57.105</v>
      </c>
      <c r="C7" s="2">
        <v>1878</v>
      </c>
      <c r="D7" s="2">
        <v>1408</v>
      </c>
      <c r="E7" s="2">
        <v>1878</v>
      </c>
      <c r="F7" s="2">
        <v>2340</v>
      </c>
      <c r="G7" s="2">
        <v>2340</v>
      </c>
      <c r="H7" s="2">
        <v>2340</v>
      </c>
      <c r="I7" s="2">
        <v>2340</v>
      </c>
      <c r="J7" s="2">
        <v>2340</v>
      </c>
      <c r="K7" s="2">
        <v>2352</v>
      </c>
      <c r="L7" s="2">
        <v>2352</v>
      </c>
      <c r="M7" s="2"/>
      <c r="N7" s="2"/>
      <c r="O7" s="2">
        <v>0</v>
      </c>
      <c r="P7" s="2"/>
      <c r="Q7" s="2"/>
      <c r="R7" s="2">
        <v>0</v>
      </c>
      <c r="S7" s="92" t="e">
        <f>(R7-O7)/O7</f>
        <v>#DIV/0!</v>
      </c>
      <c r="T7" t="s">
        <v>376</v>
      </c>
    </row>
    <row r="8" spans="2:19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2"/>
    </row>
    <row r="9" spans="1:19" ht="12.75">
      <c r="A9" s="6" t="s">
        <v>116</v>
      </c>
      <c r="B9" s="6"/>
      <c r="C9" s="7">
        <f aca="true" t="shared" si="0" ref="C9:I9">SUM(C7:C8)</f>
        <v>1878</v>
      </c>
      <c r="D9" s="8">
        <f t="shared" si="0"/>
        <v>1408</v>
      </c>
      <c r="E9" s="8">
        <f t="shared" si="0"/>
        <v>1878</v>
      </c>
      <c r="F9" s="8">
        <f t="shared" si="0"/>
        <v>2340</v>
      </c>
      <c r="G9" s="8">
        <f t="shared" si="0"/>
        <v>2340</v>
      </c>
      <c r="H9" s="8">
        <f t="shared" si="0"/>
        <v>2340</v>
      </c>
      <c r="I9" s="8">
        <f t="shared" si="0"/>
        <v>2340</v>
      </c>
      <c r="J9" s="8">
        <v>2340</v>
      </c>
      <c r="K9" s="8">
        <f aca="true" t="shared" si="1" ref="K9:R9">SUM(K7:K8)</f>
        <v>2352</v>
      </c>
      <c r="L9" s="8">
        <v>2352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96" t="e">
        <f>(R9-O9)/O9</f>
        <v>#DIV/0!</v>
      </c>
    </row>
    <row r="10" ht="12.75">
      <c r="S10" s="52"/>
    </row>
    <row r="11" spans="15:19" ht="12.75">
      <c r="O11" s="22" t="s">
        <v>488</v>
      </c>
      <c r="P11" s="22"/>
      <c r="Q11" s="56">
        <f>P9-Q9</f>
        <v>0</v>
      </c>
      <c r="S11" s="52"/>
    </row>
    <row r="12" spans="15:19" ht="12.75">
      <c r="O12" s="22" t="s">
        <v>761</v>
      </c>
      <c r="P12" s="22"/>
      <c r="Q12" s="56">
        <f>O9-Q9</f>
        <v>0</v>
      </c>
      <c r="S12" s="52"/>
    </row>
    <row r="13" spans="1:19" ht="12.75">
      <c r="A13" s="6" t="s">
        <v>22</v>
      </c>
      <c r="O13" s="22" t="s">
        <v>436</v>
      </c>
      <c r="P13" s="22"/>
      <c r="Q13" s="56">
        <f>Q9-R9</f>
        <v>0</v>
      </c>
      <c r="S13" s="52"/>
    </row>
    <row r="14" spans="1:19" ht="12.75">
      <c r="A14" s="6"/>
      <c r="S14" s="52"/>
    </row>
    <row r="15" spans="1:19" ht="12.75">
      <c r="A15" s="6"/>
      <c r="S15" s="52"/>
    </row>
    <row r="16" ht="12.75"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52" ht="12.75">
      <c r="S52" s="5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5" ht="12.75"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  <row r="70" ht="12.75">
      <c r="S70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U93"/>
  <sheetViews>
    <sheetView zoomScale="75" zoomScaleNormal="75" workbookViewId="0" topLeftCell="A1">
      <selection activeCell="R36" sqref="R3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4" width="9.140625" style="0" hidden="1" customWidth="1"/>
    <col min="5" max="5" width="8.00390625" style="0" hidden="1" customWidth="1"/>
    <col min="6" max="7" width="8.7109375" style="0" hidden="1" customWidth="1"/>
    <col min="8" max="8" width="7.140625" style="0" bestFit="1" customWidth="1"/>
    <col min="9" max="9" width="8.00390625" style="0" bestFit="1" customWidth="1"/>
    <col min="10" max="12" width="8.7109375" style="0" customWidth="1"/>
    <col min="13" max="14" width="8.00390625" style="0" bestFit="1" customWidth="1"/>
    <col min="15" max="15" width="10.7109375" style="0" customWidth="1"/>
    <col min="17" max="17" width="11.00390625" style="0" bestFit="1" customWidth="1"/>
    <col min="18" max="18" width="8.710937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1"/>
      <c r="M2" s="171"/>
    </row>
    <row r="3" spans="1:19" ht="12.75">
      <c r="A3" s="6" t="s">
        <v>485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3" t="s">
        <v>115</v>
      </c>
    </row>
    <row r="7" spans="1:20" ht="12.75">
      <c r="A7" t="s">
        <v>684</v>
      </c>
      <c r="B7" s="4">
        <v>51.11</v>
      </c>
      <c r="C7" s="1"/>
      <c r="D7" s="103"/>
      <c r="E7" s="103"/>
      <c r="F7" s="103"/>
      <c r="G7" s="103"/>
      <c r="H7" s="103"/>
      <c r="I7" s="103"/>
      <c r="J7" s="107">
        <v>12923</v>
      </c>
      <c r="K7" s="107">
        <v>82737</v>
      </c>
      <c r="L7" s="140">
        <v>74412.73</v>
      </c>
      <c r="M7" s="107"/>
      <c r="N7" s="2">
        <v>4000</v>
      </c>
      <c r="O7" s="138"/>
      <c r="P7" s="138">
        <v>77567</v>
      </c>
      <c r="Q7" s="138">
        <v>77567.06</v>
      </c>
      <c r="R7" s="138">
        <v>77567</v>
      </c>
      <c r="S7" s="92" t="e">
        <f>(R7-O7)/O7</f>
        <v>#DIV/0!</v>
      </c>
      <c r="T7" t="s">
        <v>12</v>
      </c>
    </row>
    <row r="8" spans="1:20" ht="12.75">
      <c r="A8" t="s">
        <v>159</v>
      </c>
      <c r="B8" s="4">
        <v>51.21</v>
      </c>
      <c r="C8" s="1"/>
      <c r="D8" s="103"/>
      <c r="E8" s="103"/>
      <c r="F8" s="103"/>
      <c r="G8" s="103"/>
      <c r="H8" s="103"/>
      <c r="I8" s="103"/>
      <c r="J8" s="107"/>
      <c r="K8" s="107">
        <v>1377</v>
      </c>
      <c r="L8" s="140">
        <v>3971</v>
      </c>
      <c r="M8" s="107">
        <v>3789</v>
      </c>
      <c r="N8" s="2">
        <f>+M8/$M$3*12</f>
        <v>4546.799999999999</v>
      </c>
      <c r="O8" s="138">
        <v>4800</v>
      </c>
      <c r="P8" s="138">
        <v>4920</v>
      </c>
      <c r="Q8" s="31">
        <f>1*4920</f>
        <v>4920</v>
      </c>
      <c r="R8" s="138">
        <v>4920</v>
      </c>
      <c r="S8" s="103"/>
      <c r="T8" t="s">
        <v>825</v>
      </c>
    </row>
    <row r="9" spans="1:20" ht="12.75">
      <c r="A9" t="s">
        <v>139</v>
      </c>
      <c r="B9" s="4">
        <v>51.22</v>
      </c>
      <c r="C9" s="1"/>
      <c r="D9" s="103"/>
      <c r="E9" s="103"/>
      <c r="F9" s="103"/>
      <c r="G9" s="103"/>
      <c r="H9" s="103"/>
      <c r="I9" s="103"/>
      <c r="J9" s="107">
        <v>989</v>
      </c>
      <c r="K9" s="107">
        <v>6142</v>
      </c>
      <c r="L9" s="140">
        <v>6123.72</v>
      </c>
      <c r="M9" s="107"/>
      <c r="N9" s="2">
        <f>+M9/$M$3*12</f>
        <v>0</v>
      </c>
      <c r="O9" s="138"/>
      <c r="P9" s="138">
        <f>(P7+P11)*0.0765</f>
        <v>6775.3755</v>
      </c>
      <c r="Q9" s="138">
        <f>(Q7+Q11)*0.0765</f>
        <v>6775.38009</v>
      </c>
      <c r="R9" s="138">
        <v>6775</v>
      </c>
      <c r="S9" s="103"/>
      <c r="T9" t="s">
        <v>12</v>
      </c>
    </row>
    <row r="10" spans="1:21" ht="12.75">
      <c r="A10" t="s">
        <v>855</v>
      </c>
      <c r="B10" s="4"/>
      <c r="C10" s="1"/>
      <c r="D10" s="103"/>
      <c r="E10" s="103"/>
      <c r="F10" s="103"/>
      <c r="G10" s="103"/>
      <c r="H10" s="103"/>
      <c r="I10" s="103"/>
      <c r="J10" s="107"/>
      <c r="K10" s="107"/>
      <c r="L10" s="140"/>
      <c r="M10" s="107"/>
      <c r="N10" s="2"/>
      <c r="O10" s="138"/>
      <c r="P10" s="138"/>
      <c r="Q10" s="138"/>
      <c r="R10" s="138"/>
      <c r="S10" s="103"/>
      <c r="T10" s="3"/>
      <c r="U10" s="5"/>
    </row>
    <row r="11" spans="1:20" ht="12.75">
      <c r="A11" t="s">
        <v>787</v>
      </c>
      <c r="C11" s="1"/>
      <c r="D11" s="103"/>
      <c r="E11" s="103"/>
      <c r="F11" s="103"/>
      <c r="G11" s="103"/>
      <c r="H11" s="103"/>
      <c r="I11" s="103"/>
      <c r="J11" s="107"/>
      <c r="K11" s="107"/>
      <c r="L11" s="140">
        <v>13500</v>
      </c>
      <c r="M11" s="107"/>
      <c r="N11" s="2"/>
      <c r="O11" s="138">
        <v>0</v>
      </c>
      <c r="P11" s="138">
        <v>11000</v>
      </c>
      <c r="Q11" s="138">
        <v>11000</v>
      </c>
      <c r="R11" s="138">
        <v>11000</v>
      </c>
      <c r="S11" s="103"/>
      <c r="T11" t="s">
        <v>13</v>
      </c>
    </row>
    <row r="12" spans="3:19" ht="12.75">
      <c r="C12" s="1"/>
      <c r="D12" s="103"/>
      <c r="E12" s="103"/>
      <c r="F12" s="103"/>
      <c r="G12" s="103"/>
      <c r="H12" s="103"/>
      <c r="I12" s="103"/>
      <c r="J12" s="107"/>
      <c r="K12" s="107"/>
      <c r="L12" s="140"/>
      <c r="M12" s="107"/>
      <c r="N12" s="2"/>
      <c r="O12" s="138"/>
      <c r="P12" s="138"/>
      <c r="Q12" s="138"/>
      <c r="R12" s="138"/>
      <c r="S12" s="103"/>
    </row>
    <row r="13" spans="1:21" ht="12.75">
      <c r="A13" t="s">
        <v>157</v>
      </c>
      <c r="B13" s="4">
        <v>52.12</v>
      </c>
      <c r="C13" s="1"/>
      <c r="D13" s="103"/>
      <c r="E13" s="103"/>
      <c r="F13" s="103"/>
      <c r="G13" s="103"/>
      <c r="H13" s="103"/>
      <c r="I13" s="103"/>
      <c r="J13" s="107"/>
      <c r="K13" s="107">
        <f>460+660</f>
        <v>1120</v>
      </c>
      <c r="L13" s="140">
        <v>5853</v>
      </c>
      <c r="M13" s="107">
        <v>13442</v>
      </c>
      <c r="N13" s="2">
        <v>19000</v>
      </c>
      <c r="O13" s="140">
        <v>19000</v>
      </c>
      <c r="P13" s="140">
        <v>21500</v>
      </c>
      <c r="Q13" s="140">
        <v>19000</v>
      </c>
      <c r="R13" s="140">
        <v>19000</v>
      </c>
      <c r="S13" s="103"/>
      <c r="T13" t="s">
        <v>514</v>
      </c>
      <c r="U13" s="5"/>
    </row>
    <row r="14" spans="1:21" ht="12.75">
      <c r="A14" t="s">
        <v>831</v>
      </c>
      <c r="B14" s="4">
        <v>52.1319</v>
      </c>
      <c r="C14" s="2"/>
      <c r="D14" s="2"/>
      <c r="E14" s="2"/>
      <c r="F14" s="2"/>
      <c r="G14" s="2"/>
      <c r="H14" s="2"/>
      <c r="I14" s="2"/>
      <c r="J14" s="18"/>
      <c r="K14" s="18"/>
      <c r="L14" s="164">
        <f>5308+1242</f>
        <v>6550</v>
      </c>
      <c r="M14" s="18"/>
      <c r="N14" s="2">
        <v>4500</v>
      </c>
      <c r="O14" s="140">
        <v>4750</v>
      </c>
      <c r="P14" s="2">
        <v>2500</v>
      </c>
      <c r="Q14" s="2">
        <v>2500</v>
      </c>
      <c r="R14" s="140">
        <v>2500</v>
      </c>
      <c r="S14" s="92"/>
      <c r="U14" s="5"/>
    </row>
    <row r="15" spans="1:21" ht="12.75">
      <c r="A15" t="s">
        <v>832</v>
      </c>
      <c r="B15" s="4">
        <v>52.22</v>
      </c>
      <c r="C15" s="2"/>
      <c r="D15" s="2"/>
      <c r="E15" s="2"/>
      <c r="F15" s="2"/>
      <c r="G15" s="2"/>
      <c r="H15" s="2"/>
      <c r="I15" s="2"/>
      <c r="J15" s="18"/>
      <c r="K15" s="18"/>
      <c r="L15" s="164"/>
      <c r="M15" s="18"/>
      <c r="N15" s="2"/>
      <c r="O15" s="140">
        <v>0</v>
      </c>
      <c r="P15" s="2"/>
      <c r="Q15" s="2"/>
      <c r="R15" s="140"/>
      <c r="S15" s="92"/>
      <c r="U15" s="5"/>
    </row>
    <row r="16" spans="1:21" ht="12.75">
      <c r="A16" t="s">
        <v>833</v>
      </c>
      <c r="B16" s="4">
        <v>52.2313</v>
      </c>
      <c r="C16" s="2"/>
      <c r="D16" s="2"/>
      <c r="E16" s="2"/>
      <c r="F16" s="2"/>
      <c r="G16" s="2"/>
      <c r="H16" s="2"/>
      <c r="I16" s="2"/>
      <c r="J16" s="18"/>
      <c r="K16" s="18">
        <v>4000</v>
      </c>
      <c r="L16" s="164">
        <f>4000+400</f>
        <v>4400</v>
      </c>
      <c r="M16" s="18">
        <v>3200</v>
      </c>
      <c r="N16" s="2">
        <v>4400</v>
      </c>
      <c r="O16" s="140">
        <v>4560</v>
      </c>
      <c r="P16" s="2">
        <v>0</v>
      </c>
      <c r="Q16" s="2">
        <v>0</v>
      </c>
      <c r="R16" s="140"/>
      <c r="S16" s="92"/>
      <c r="T16" t="s">
        <v>601</v>
      </c>
      <c r="U16" s="5"/>
    </row>
    <row r="17" spans="1:21" ht="12.75">
      <c r="A17" t="s">
        <v>1041</v>
      </c>
      <c r="B17" s="4"/>
      <c r="C17" s="2"/>
      <c r="D17" s="2"/>
      <c r="E17" s="2"/>
      <c r="F17" s="2"/>
      <c r="G17" s="2"/>
      <c r="H17" s="2"/>
      <c r="I17" s="2"/>
      <c r="J17" s="18"/>
      <c r="K17" s="18"/>
      <c r="L17" s="164"/>
      <c r="M17" s="18"/>
      <c r="N17" s="2"/>
      <c r="O17" s="140"/>
      <c r="P17" s="2">
        <v>1800</v>
      </c>
      <c r="Q17" s="2">
        <v>1800</v>
      </c>
      <c r="R17" s="140">
        <v>1800</v>
      </c>
      <c r="S17" s="92"/>
      <c r="U17" s="5"/>
    </row>
    <row r="18" spans="1:21" ht="12.75">
      <c r="A18" t="s">
        <v>141</v>
      </c>
      <c r="B18" s="4">
        <v>52.32</v>
      </c>
      <c r="C18" s="1"/>
      <c r="D18" s="103"/>
      <c r="E18" s="103"/>
      <c r="F18" s="103"/>
      <c r="G18" s="103"/>
      <c r="H18" s="103"/>
      <c r="I18" s="103"/>
      <c r="J18" s="107">
        <v>149</v>
      </c>
      <c r="K18" s="107">
        <v>781</v>
      </c>
      <c r="L18" s="140">
        <f>912+111</f>
        <v>1023</v>
      </c>
      <c r="M18" s="107">
        <v>937</v>
      </c>
      <c r="N18" s="2">
        <f>+M18/$M$3*12</f>
        <v>1124.4</v>
      </c>
      <c r="O18" s="140">
        <v>950</v>
      </c>
      <c r="P18" s="138">
        <v>950</v>
      </c>
      <c r="Q18" s="138">
        <v>950</v>
      </c>
      <c r="R18" s="140">
        <v>950</v>
      </c>
      <c r="S18" s="103"/>
      <c r="T18" s="3"/>
      <c r="U18" s="5"/>
    </row>
    <row r="19" spans="1:19" ht="12.75">
      <c r="A19" t="s">
        <v>163</v>
      </c>
      <c r="B19" s="4">
        <v>52.33</v>
      </c>
      <c r="C19" s="2"/>
      <c r="D19" s="2"/>
      <c r="E19" s="2"/>
      <c r="F19" s="2"/>
      <c r="G19" s="2"/>
      <c r="H19" s="2"/>
      <c r="I19" s="2"/>
      <c r="J19" s="18"/>
      <c r="K19" s="18">
        <v>1565</v>
      </c>
      <c r="L19" s="164"/>
      <c r="M19" s="18"/>
      <c r="N19" s="2">
        <f>+M19/$M$3*12</f>
        <v>0</v>
      </c>
      <c r="O19" s="140">
        <v>2850</v>
      </c>
      <c r="P19" s="2">
        <v>2500</v>
      </c>
      <c r="Q19" s="2"/>
      <c r="R19" s="140"/>
      <c r="S19" s="92"/>
    </row>
    <row r="20" spans="1:21" ht="12.75">
      <c r="A20" t="s">
        <v>834</v>
      </c>
      <c r="B20" s="4">
        <v>52.3405</v>
      </c>
      <c r="C20" s="1"/>
      <c r="D20" s="103"/>
      <c r="E20" s="103"/>
      <c r="F20" s="103"/>
      <c r="G20" s="103"/>
      <c r="H20" s="103"/>
      <c r="I20" s="103"/>
      <c r="J20" s="107"/>
      <c r="K20" s="107">
        <v>300</v>
      </c>
      <c r="L20" s="140"/>
      <c r="M20" s="107"/>
      <c r="N20" s="2"/>
      <c r="O20" s="140">
        <v>0</v>
      </c>
      <c r="P20" s="138"/>
      <c r="Q20" s="138"/>
      <c r="R20" s="140"/>
      <c r="S20" s="103"/>
      <c r="T20" s="3"/>
      <c r="U20" s="5"/>
    </row>
    <row r="21" spans="1:21" ht="12.75">
      <c r="A21" t="s">
        <v>154</v>
      </c>
      <c r="B21" s="4">
        <v>52.35</v>
      </c>
      <c r="C21" s="1"/>
      <c r="D21" s="103"/>
      <c r="E21" s="103"/>
      <c r="F21" s="103"/>
      <c r="G21" s="103"/>
      <c r="H21" s="103"/>
      <c r="I21" s="103"/>
      <c r="J21" s="107">
        <v>1963</v>
      </c>
      <c r="K21" s="107">
        <v>4522</v>
      </c>
      <c r="L21" s="140">
        <v>1473</v>
      </c>
      <c r="M21" s="107">
        <v>1700</v>
      </c>
      <c r="N21" s="2">
        <v>4000</v>
      </c>
      <c r="O21" s="140">
        <v>4750</v>
      </c>
      <c r="P21" s="138">
        <v>4000</v>
      </c>
      <c r="Q21" s="138">
        <v>4000</v>
      </c>
      <c r="R21" s="140">
        <v>4000</v>
      </c>
      <c r="S21" s="103"/>
      <c r="T21" s="3"/>
      <c r="U21" s="5"/>
    </row>
    <row r="22" spans="1:19" ht="12.75">
      <c r="A22" t="s">
        <v>835</v>
      </c>
      <c r="B22" s="4">
        <v>52.3852</v>
      </c>
      <c r="C22" s="2">
        <v>38107</v>
      </c>
      <c r="D22" s="2">
        <v>30294</v>
      </c>
      <c r="E22" s="2"/>
      <c r="F22" s="2">
        <v>35994</v>
      </c>
      <c r="G22" s="2">
        <v>33970</v>
      </c>
      <c r="H22" s="2">
        <v>38921</v>
      </c>
      <c r="I22" s="2">
        <v>45177</v>
      </c>
      <c r="J22" s="18">
        <v>37485</v>
      </c>
      <c r="K22" s="18">
        <v>17828</v>
      </c>
      <c r="L22" s="164">
        <f>13721+1008</f>
        <v>14729</v>
      </c>
      <c r="M22" s="18"/>
      <c r="N22" s="2">
        <f>+M22/$M$3*12</f>
        <v>0</v>
      </c>
      <c r="O22" s="140">
        <v>0</v>
      </c>
      <c r="P22" s="2"/>
      <c r="Q22" s="2"/>
      <c r="R22" s="140"/>
      <c r="S22" s="92" t="e">
        <f>(R22-O22)/O22</f>
        <v>#DIV/0!</v>
      </c>
    </row>
    <row r="23" spans="1:21" ht="12.75">
      <c r="A23" t="s">
        <v>949</v>
      </c>
      <c r="B23" s="4"/>
      <c r="C23" s="2"/>
      <c r="D23" s="2"/>
      <c r="E23" s="2"/>
      <c r="F23" s="2"/>
      <c r="G23" s="2"/>
      <c r="H23" s="2"/>
      <c r="I23" s="2"/>
      <c r="J23" s="18"/>
      <c r="K23" s="18"/>
      <c r="L23" s="164"/>
      <c r="M23" s="18">
        <v>9000</v>
      </c>
      <c r="N23" s="2">
        <v>9000</v>
      </c>
      <c r="O23" s="140">
        <v>8550</v>
      </c>
      <c r="P23" s="2">
        <v>12000</v>
      </c>
      <c r="Q23" s="2">
        <v>12000</v>
      </c>
      <c r="R23" s="140">
        <v>12000</v>
      </c>
      <c r="S23" s="92"/>
      <c r="U23" s="5"/>
    </row>
    <row r="24" spans="1:21" ht="12.75">
      <c r="A24" t="s">
        <v>142</v>
      </c>
      <c r="B24" s="4"/>
      <c r="C24" s="2"/>
      <c r="D24" s="2"/>
      <c r="E24" s="2"/>
      <c r="F24" s="2"/>
      <c r="G24" s="2"/>
      <c r="H24" s="2"/>
      <c r="I24" s="2"/>
      <c r="J24" s="18"/>
      <c r="K24" s="18"/>
      <c r="L24" s="164">
        <v>112</v>
      </c>
      <c r="M24" s="18"/>
      <c r="N24" s="2">
        <f>+M24/$M$3*12</f>
        <v>0</v>
      </c>
      <c r="O24" s="140">
        <v>0</v>
      </c>
      <c r="P24" s="2">
        <v>100</v>
      </c>
      <c r="Q24" s="2"/>
      <c r="R24" s="140"/>
      <c r="S24" s="92"/>
      <c r="U24" s="5"/>
    </row>
    <row r="25" spans="1:19" ht="12.75">
      <c r="A25" t="s">
        <v>807</v>
      </c>
      <c r="B25" s="4">
        <v>53.171</v>
      </c>
      <c r="C25" s="2"/>
      <c r="D25" s="2"/>
      <c r="E25" s="2"/>
      <c r="F25" s="2"/>
      <c r="G25" s="2"/>
      <c r="H25" s="2"/>
      <c r="I25" s="2"/>
      <c r="J25" s="18">
        <v>2</v>
      </c>
      <c r="K25" s="18"/>
      <c r="L25" s="164">
        <v>12</v>
      </c>
      <c r="M25" s="18"/>
      <c r="N25" s="2">
        <f>+M25/$M$3*12</f>
        <v>0</v>
      </c>
      <c r="O25" s="140">
        <v>0</v>
      </c>
      <c r="P25" s="2"/>
      <c r="Q25" s="2"/>
      <c r="R25" s="140"/>
      <c r="S25" s="92"/>
    </row>
    <row r="26" spans="1:19" ht="12.75">
      <c r="A26" t="s">
        <v>665</v>
      </c>
      <c r="B26" s="4"/>
      <c r="C26" s="2"/>
      <c r="D26" s="2"/>
      <c r="E26" s="2"/>
      <c r="F26" s="2"/>
      <c r="G26" s="2"/>
      <c r="H26" s="2"/>
      <c r="I26" s="2"/>
      <c r="J26" s="18">
        <v>2279</v>
      </c>
      <c r="K26" s="18"/>
      <c r="L26" s="164"/>
      <c r="M26" s="18"/>
      <c r="N26" s="2">
        <f>+M26/$M$3*12</f>
        <v>0</v>
      </c>
      <c r="O26" s="140">
        <v>0</v>
      </c>
      <c r="P26" s="2"/>
      <c r="Q26" s="2"/>
      <c r="R26" s="140"/>
      <c r="S26" s="92"/>
    </row>
    <row r="27" spans="1:19" ht="12.75">
      <c r="A27" t="s">
        <v>784</v>
      </c>
      <c r="B27" s="4"/>
      <c r="C27" s="2"/>
      <c r="D27" s="2"/>
      <c r="E27" s="2"/>
      <c r="F27" s="2"/>
      <c r="G27" s="2"/>
      <c r="H27" s="2"/>
      <c r="I27" s="2"/>
      <c r="J27" s="18"/>
      <c r="K27" s="18"/>
      <c r="L27" s="164"/>
      <c r="M27" s="18"/>
      <c r="N27" s="2">
        <f>+M27/$M$3*12</f>
        <v>0</v>
      </c>
      <c r="O27" s="140">
        <v>0</v>
      </c>
      <c r="P27" s="2"/>
      <c r="Q27" s="2"/>
      <c r="R27" s="140"/>
      <c r="S27" s="92"/>
    </row>
    <row r="28" spans="1:19" ht="12.75">
      <c r="A28" t="s">
        <v>816</v>
      </c>
      <c r="B28" s="4">
        <v>52.3604</v>
      </c>
      <c r="C28" s="2"/>
      <c r="D28" s="2"/>
      <c r="E28" s="2"/>
      <c r="F28" s="2"/>
      <c r="G28" s="2"/>
      <c r="H28" s="2"/>
      <c r="I28" s="2"/>
      <c r="J28" s="18"/>
      <c r="K28" s="18"/>
      <c r="L28" s="164"/>
      <c r="M28" s="18"/>
      <c r="N28" s="2">
        <v>285</v>
      </c>
      <c r="O28" s="140">
        <v>285</v>
      </c>
      <c r="P28" s="2">
        <v>285</v>
      </c>
      <c r="Q28" s="2">
        <v>285</v>
      </c>
      <c r="R28" s="140">
        <v>285</v>
      </c>
      <c r="S28" s="92"/>
    </row>
    <row r="29" spans="2:19" ht="12.75">
      <c r="B29" s="4"/>
      <c r="C29" s="2"/>
      <c r="D29" s="2"/>
      <c r="E29" s="2"/>
      <c r="F29" s="2"/>
      <c r="G29" s="2"/>
      <c r="H29" s="2"/>
      <c r="I29" s="2"/>
      <c r="J29" s="18"/>
      <c r="K29" s="18"/>
      <c r="L29" s="164"/>
      <c r="M29" s="18"/>
      <c r="N29" s="2"/>
      <c r="O29" s="2"/>
      <c r="P29" s="2"/>
      <c r="Q29" s="2"/>
      <c r="R29" s="2"/>
      <c r="S29" s="92"/>
    </row>
    <row r="30" spans="1:19" ht="12.75">
      <c r="A30" t="s">
        <v>808</v>
      </c>
      <c r="B30" s="4"/>
      <c r="C30" s="2"/>
      <c r="D30" s="2"/>
      <c r="E30" s="2"/>
      <c r="F30" s="2"/>
      <c r="G30" s="2"/>
      <c r="H30" s="2"/>
      <c r="I30" s="2"/>
      <c r="J30" s="18">
        <v>15000</v>
      </c>
      <c r="K30" s="18"/>
      <c r="L30" s="164"/>
      <c r="M30" s="18"/>
      <c r="N30" s="2">
        <f>+M30/$M$3*12</f>
        <v>0</v>
      </c>
      <c r="O30" s="2"/>
      <c r="P30" s="2"/>
      <c r="Q30" s="2"/>
      <c r="R30" s="2"/>
      <c r="S30" s="92"/>
    </row>
    <row r="31" spans="1:20" ht="12.75">
      <c r="A31" t="s">
        <v>511</v>
      </c>
      <c r="B31" s="4">
        <v>57.1091</v>
      </c>
      <c r="C31" s="2">
        <v>5000</v>
      </c>
      <c r="D31" s="2">
        <v>5000</v>
      </c>
      <c r="E31" s="2"/>
      <c r="F31" s="2"/>
      <c r="G31" s="2"/>
      <c r="H31" s="2"/>
      <c r="I31" s="2"/>
      <c r="J31" s="18"/>
      <c r="K31" s="18">
        <v>5000</v>
      </c>
      <c r="L31" s="164"/>
      <c r="M31" s="18"/>
      <c r="N31" s="2">
        <f>+M31/$M$3*12</f>
        <v>0</v>
      </c>
      <c r="O31" s="2"/>
      <c r="P31" s="2"/>
      <c r="Q31" s="2"/>
      <c r="R31" s="2"/>
      <c r="S31" s="92"/>
      <c r="T31" t="s">
        <v>589</v>
      </c>
    </row>
    <row r="32" spans="2:19" ht="12.75">
      <c r="B32" s="4"/>
      <c r="C32" s="2"/>
      <c r="D32" s="2"/>
      <c r="E32" s="2"/>
      <c r="F32" s="2"/>
      <c r="G32" s="2"/>
      <c r="H32" s="2"/>
      <c r="I32" s="2"/>
      <c r="J32" s="18"/>
      <c r="K32" s="18"/>
      <c r="L32" s="164"/>
      <c r="M32" s="18"/>
      <c r="N32" s="2"/>
      <c r="O32" s="2"/>
      <c r="P32" s="2"/>
      <c r="Q32" s="2"/>
      <c r="R32" s="2"/>
      <c r="S32" s="92"/>
    </row>
    <row r="33" spans="1:20" ht="12.75">
      <c r="A33" t="s">
        <v>315</v>
      </c>
      <c r="B33" s="4">
        <v>57.21</v>
      </c>
      <c r="C33" s="2">
        <v>9200</v>
      </c>
      <c r="D33" s="2">
        <v>20000</v>
      </c>
      <c r="E33" s="2"/>
      <c r="F33" s="2">
        <v>22500</v>
      </c>
      <c r="G33" s="2">
        <v>25000</v>
      </c>
      <c r="H33" s="2">
        <v>25000</v>
      </c>
      <c r="I33" s="2">
        <v>18750</v>
      </c>
      <c r="J33" s="18">
        <v>25000</v>
      </c>
      <c r="K33" s="18">
        <v>25000</v>
      </c>
      <c r="L33" s="164">
        <v>25000</v>
      </c>
      <c r="M33" s="18">
        <v>21375</v>
      </c>
      <c r="N33" s="2">
        <v>21375</v>
      </c>
      <c r="O33" s="2">
        <v>21375</v>
      </c>
      <c r="P33" s="2">
        <v>21375</v>
      </c>
      <c r="Q33" s="20">
        <v>15000</v>
      </c>
      <c r="R33" s="2">
        <v>12000</v>
      </c>
      <c r="S33" s="92">
        <f>(R33-O33)/O33</f>
        <v>-0.43859649122807015</v>
      </c>
      <c r="T33" t="s">
        <v>601</v>
      </c>
    </row>
    <row r="34" spans="2:19" ht="12.75">
      <c r="B34" s="4"/>
      <c r="C34" s="2"/>
      <c r="D34" s="2"/>
      <c r="E34" s="2"/>
      <c r="F34" s="2"/>
      <c r="G34" s="2"/>
      <c r="H34" s="2"/>
      <c r="I34" s="2"/>
      <c r="J34" s="18"/>
      <c r="K34" s="18"/>
      <c r="L34" s="164"/>
      <c r="M34" s="18"/>
      <c r="N34" s="2">
        <f>+M34/$M$3*12</f>
        <v>0</v>
      </c>
      <c r="O34" s="2"/>
      <c r="P34" s="2"/>
      <c r="Q34" s="2"/>
      <c r="R34" s="2"/>
      <c r="S34" s="92"/>
    </row>
    <row r="35" spans="1:20" ht="12.75">
      <c r="A35" t="s">
        <v>316</v>
      </c>
      <c r="B35" s="4">
        <v>57.211</v>
      </c>
      <c r="C35" s="2">
        <v>25000</v>
      </c>
      <c r="D35" s="2">
        <v>21250</v>
      </c>
      <c r="E35" s="2">
        <v>20000</v>
      </c>
      <c r="F35" s="2">
        <v>95000</v>
      </c>
      <c r="G35" s="2">
        <v>18000</v>
      </c>
      <c r="H35" s="2">
        <v>8000</v>
      </c>
      <c r="I35" s="2">
        <v>8000</v>
      </c>
      <c r="J35" s="18">
        <v>8000</v>
      </c>
      <c r="K35" s="18">
        <v>8000</v>
      </c>
      <c r="L35" s="164">
        <v>8000</v>
      </c>
      <c r="M35" s="18">
        <v>6840</v>
      </c>
      <c r="N35" s="2">
        <v>6840</v>
      </c>
      <c r="O35" s="18">
        <v>6840</v>
      </c>
      <c r="P35" s="2">
        <v>8000</v>
      </c>
      <c r="Q35" s="2">
        <v>6840</v>
      </c>
      <c r="R35" s="18"/>
      <c r="S35" s="92"/>
      <c r="T35" t="s">
        <v>539</v>
      </c>
    </row>
    <row r="36" spans="1:19" ht="12.75">
      <c r="A36" t="s">
        <v>15</v>
      </c>
      <c r="B36" s="4"/>
      <c r="C36" s="2"/>
      <c r="D36" s="2"/>
      <c r="E36" s="2"/>
      <c r="F36" s="2"/>
      <c r="G36" s="2"/>
      <c r="H36" s="2"/>
      <c r="I36" s="2"/>
      <c r="J36" s="18"/>
      <c r="K36" s="18"/>
      <c r="L36" s="164"/>
      <c r="M36" s="18">
        <v>21984.12</v>
      </c>
      <c r="N36" s="2">
        <v>22000</v>
      </c>
      <c r="O36" s="18">
        <v>22000</v>
      </c>
      <c r="P36" s="2"/>
      <c r="Q36" s="2"/>
      <c r="R36" s="18"/>
      <c r="S36" s="92"/>
    </row>
    <row r="37" spans="2:19" ht="12.75">
      <c r="B37" s="4"/>
      <c r="C37" s="2"/>
      <c r="D37" s="2"/>
      <c r="E37" s="2"/>
      <c r="F37" s="2"/>
      <c r="G37" s="2"/>
      <c r="H37" s="2"/>
      <c r="I37" s="2"/>
      <c r="J37" s="18"/>
      <c r="K37" s="18"/>
      <c r="L37" s="164"/>
      <c r="M37" s="18"/>
      <c r="N37" s="2"/>
      <c r="O37" s="18"/>
      <c r="P37" s="2"/>
      <c r="Q37" s="2"/>
      <c r="R37" s="18"/>
      <c r="S37" s="92"/>
    </row>
    <row r="38" spans="2:19" ht="11.25" customHeight="1">
      <c r="B38" s="4">
        <v>57.2111</v>
      </c>
      <c r="C38" s="2"/>
      <c r="D38" s="2"/>
      <c r="E38" s="2"/>
      <c r="F38" s="2"/>
      <c r="G38" s="2">
        <v>100000</v>
      </c>
      <c r="H38" s="2"/>
      <c r="I38" s="2"/>
      <c r="J38" s="18"/>
      <c r="K38" s="18"/>
      <c r="L38" s="164"/>
      <c r="M38" s="2"/>
      <c r="N38" s="2">
        <f>+M38/$M$3*12</f>
        <v>0</v>
      </c>
      <c r="O38" s="18"/>
      <c r="P38" s="2"/>
      <c r="Q38" s="2"/>
      <c r="R38" s="18"/>
      <c r="S38" s="92"/>
    </row>
    <row r="39" spans="1:19" ht="12.75" hidden="1">
      <c r="A39" t="s">
        <v>317</v>
      </c>
      <c r="B39" s="4">
        <v>57.2161</v>
      </c>
      <c r="C39" s="2">
        <v>6700</v>
      </c>
      <c r="D39" s="2">
        <v>6700</v>
      </c>
      <c r="E39" s="2"/>
      <c r="F39" s="2">
        <v>7000</v>
      </c>
      <c r="G39" s="2"/>
      <c r="H39" s="2"/>
      <c r="I39" s="2"/>
      <c r="J39" s="18"/>
      <c r="K39" s="18"/>
      <c r="L39" s="164"/>
      <c r="M39" s="2"/>
      <c r="N39" s="2">
        <f>+M39/$M$3*12</f>
        <v>0</v>
      </c>
      <c r="O39" s="18"/>
      <c r="P39" s="2"/>
      <c r="Q39" s="2"/>
      <c r="R39" s="18"/>
      <c r="S39" s="52"/>
    </row>
    <row r="40" spans="1:20" ht="12" customHeight="1">
      <c r="A40" t="s">
        <v>838</v>
      </c>
      <c r="B40" s="4"/>
      <c r="C40" s="2"/>
      <c r="D40" s="2"/>
      <c r="E40" s="2"/>
      <c r="F40" s="2"/>
      <c r="G40" s="2"/>
      <c r="H40" s="2"/>
      <c r="I40" s="2"/>
      <c r="J40" s="18"/>
      <c r="K40" s="18"/>
      <c r="L40" s="164"/>
      <c r="M40" s="2"/>
      <c r="N40" s="2">
        <f>+M40/$M$3*12</f>
        <v>0</v>
      </c>
      <c r="O40" s="2"/>
      <c r="P40" s="2">
        <v>15000</v>
      </c>
      <c r="Q40" s="2">
        <v>15000</v>
      </c>
      <c r="R40" s="2">
        <v>15000</v>
      </c>
      <c r="S40" s="52"/>
      <c r="T40" t="s">
        <v>515</v>
      </c>
    </row>
    <row r="41" spans="1:19" ht="0.75" customHeight="1" hidden="1">
      <c r="A41" t="s">
        <v>332</v>
      </c>
      <c r="B41" s="4" t="s">
        <v>117</v>
      </c>
      <c r="C41" s="2"/>
      <c r="D41" s="2">
        <v>125722</v>
      </c>
      <c r="E41" s="2"/>
      <c r="F41" s="2"/>
      <c r="G41" s="2"/>
      <c r="H41" s="2"/>
      <c r="I41" s="2"/>
      <c r="J41" s="18"/>
      <c r="K41" s="18"/>
      <c r="L41" s="164"/>
      <c r="M41" s="2"/>
      <c r="N41" s="2">
        <f>+M41/$M$3*12</f>
        <v>0</v>
      </c>
      <c r="O41" s="2"/>
      <c r="P41" s="2"/>
      <c r="Q41" s="2"/>
      <c r="R41" s="2"/>
      <c r="S41" s="52"/>
    </row>
    <row r="42" spans="1:19" ht="12.75" hidden="1">
      <c r="A42" t="s">
        <v>325</v>
      </c>
      <c r="B42" s="4" t="s">
        <v>117</v>
      </c>
      <c r="C42" s="2">
        <v>23811</v>
      </c>
      <c r="D42" s="2"/>
      <c r="E42" s="2"/>
      <c r="F42" s="2"/>
      <c r="G42" s="2"/>
      <c r="H42" s="2"/>
      <c r="I42" s="2"/>
      <c r="J42" s="18"/>
      <c r="K42" s="18"/>
      <c r="L42" s="164"/>
      <c r="M42" s="2"/>
      <c r="N42" s="2">
        <f>+M42/$M$3*12</f>
        <v>0</v>
      </c>
      <c r="O42" s="2"/>
      <c r="P42" s="2"/>
      <c r="Q42" s="2"/>
      <c r="R42" s="2"/>
      <c r="S42" s="52"/>
    </row>
    <row r="43" spans="2:19" ht="12.75">
      <c r="B43" s="4"/>
      <c r="C43" s="2"/>
      <c r="D43" s="2"/>
      <c r="E43" s="2"/>
      <c r="F43" s="2"/>
      <c r="G43" s="2"/>
      <c r="H43" s="2"/>
      <c r="I43" s="2"/>
      <c r="J43" s="18"/>
      <c r="K43" s="18"/>
      <c r="L43" s="164"/>
      <c r="M43" s="2"/>
      <c r="N43" s="2"/>
      <c r="O43" s="2"/>
      <c r="P43" s="2"/>
      <c r="Q43" s="2"/>
      <c r="R43" s="2"/>
      <c r="S43" s="52"/>
    </row>
    <row r="44" spans="1:19" ht="12.75">
      <c r="A44" s="6" t="s">
        <v>116</v>
      </c>
      <c r="B44" s="6"/>
      <c r="C44" s="8">
        <f>SUM(C22:C43)</f>
        <v>107818</v>
      </c>
      <c r="D44" s="8">
        <f>SUM(D22:D43)</f>
        <v>208966</v>
      </c>
      <c r="E44" s="8">
        <f>SUM(E22:E43)</f>
        <v>20000</v>
      </c>
      <c r="F44" s="8">
        <f>SUM(F22:F43)</f>
        <v>160494</v>
      </c>
      <c r="G44" s="8">
        <f>SUM(G22:G43)</f>
        <v>176970</v>
      </c>
      <c r="H44" s="8">
        <v>71921</v>
      </c>
      <c r="I44" s="8">
        <v>63927</v>
      </c>
      <c r="J44" s="8">
        <v>96453</v>
      </c>
      <c r="K44" s="8">
        <v>150372</v>
      </c>
      <c r="L44" s="165">
        <v>157160</v>
      </c>
      <c r="M44" s="8">
        <f>SUM(M7:M43)-M35</f>
        <v>75427.12</v>
      </c>
      <c r="N44" s="8">
        <f>SUM(N7:N43)-N35</f>
        <v>94231.20000000001</v>
      </c>
      <c r="O44" s="8">
        <f>SUM(O7:O43)-O35</f>
        <v>93870</v>
      </c>
      <c r="P44" s="8">
        <f>SUM(P7:P43)</f>
        <v>190272.3755</v>
      </c>
      <c r="Q44" s="8">
        <f>SUM(Q7:Q43)</f>
        <v>177637.44009</v>
      </c>
      <c r="R44" s="8">
        <f>SUM(R7:R43)</f>
        <v>167797</v>
      </c>
      <c r="S44" s="53">
        <f>(R44-O44)/O44</f>
        <v>0.7875466070096943</v>
      </c>
    </row>
    <row r="45" spans="3:19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2"/>
    </row>
    <row r="46" spans="3:19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2" t="s">
        <v>488</v>
      </c>
      <c r="P46" s="22"/>
      <c r="Q46" s="56">
        <f>P44-Q44</f>
        <v>12634.935410000006</v>
      </c>
      <c r="R46" s="2"/>
      <c r="S46" s="52"/>
    </row>
    <row r="47" spans="1:19" ht="12.75">
      <c r="A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2" t="s">
        <v>761</v>
      </c>
      <c r="P47" s="22"/>
      <c r="Q47" s="56">
        <f>O44-Q44</f>
        <v>-83767.44008999999</v>
      </c>
      <c r="R47" s="2"/>
      <c r="S47" s="52"/>
    </row>
    <row r="48" spans="15:19" ht="12.75">
      <c r="O48" s="22" t="s">
        <v>436</v>
      </c>
      <c r="P48" s="22"/>
      <c r="Q48" s="56">
        <f>Q44-R44</f>
        <v>9840.44008999999</v>
      </c>
      <c r="S48" s="52"/>
    </row>
    <row r="49" ht="12.75">
      <c r="S49" s="52"/>
    </row>
    <row r="50" spans="1:19" ht="12.75">
      <c r="A50" t="s">
        <v>1042</v>
      </c>
      <c r="S50" s="52"/>
    </row>
    <row r="51" spans="1:19" ht="12.75">
      <c r="A51" t="s">
        <v>2</v>
      </c>
      <c r="S51" s="52"/>
    </row>
    <row r="52" spans="1:19" ht="12.75">
      <c r="A52" t="s">
        <v>23</v>
      </c>
      <c r="S52" s="52"/>
    </row>
    <row r="53" spans="1:19" ht="12.75">
      <c r="A53" t="s">
        <v>16</v>
      </c>
      <c r="S53" s="52"/>
    </row>
    <row r="54" spans="1:19" ht="12.75">
      <c r="A54" t="s">
        <v>788</v>
      </c>
      <c r="S54" s="52"/>
    </row>
    <row r="55" spans="1:19" ht="12.75">
      <c r="A55" t="s">
        <v>1027</v>
      </c>
      <c r="S55" s="52"/>
    </row>
    <row r="56" spans="1:19" ht="12.75">
      <c r="A56" t="s">
        <v>827</v>
      </c>
      <c r="S56" s="52"/>
    </row>
    <row r="57" spans="1:19" ht="12.75">
      <c r="A57" t="s">
        <v>11</v>
      </c>
      <c r="S57" s="52"/>
    </row>
    <row r="58" ht="12.75">
      <c r="S58" s="52"/>
    </row>
    <row r="59" spans="1:19" ht="12.75">
      <c r="A59" s="6"/>
      <c r="S59" s="52"/>
    </row>
    <row r="60" ht="12.75">
      <c r="S60" s="52"/>
    </row>
    <row r="61" spans="1:19" ht="12.75">
      <c r="A61" s="6"/>
      <c r="S61" s="52"/>
    </row>
    <row r="62" ht="12.75">
      <c r="S62" s="52"/>
    </row>
    <row r="63" ht="12.75">
      <c r="S63" s="52"/>
    </row>
    <row r="64" ht="12.75">
      <c r="S64" s="52"/>
    </row>
    <row r="65" ht="12.75">
      <c r="S65" s="52"/>
    </row>
    <row r="66" ht="12.75">
      <c r="S66" s="52"/>
    </row>
    <row r="67" ht="12.75">
      <c r="S67" s="52"/>
    </row>
    <row r="68" ht="12.75">
      <c r="S68" s="52"/>
    </row>
    <row r="69" ht="12.75">
      <c r="S69" s="52"/>
    </row>
    <row r="70" ht="12.75">
      <c r="S70" s="52"/>
    </row>
    <row r="71" ht="12.75">
      <c r="S71" s="52"/>
    </row>
    <row r="72" ht="12.75">
      <c r="S72" s="52"/>
    </row>
    <row r="73" ht="12.75">
      <c r="S73" s="52"/>
    </row>
    <row r="86" ht="12.75">
      <c r="S86" s="2"/>
    </row>
    <row r="87" ht="12.75"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75" r:id="rId1"/>
  <headerFooter alignWithMargins="0">
    <oddFooter>&amp;L&amp;F
&amp;A&amp;CPage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U67"/>
  <sheetViews>
    <sheetView zoomScale="75" zoomScaleNormal="75" workbookViewId="0" topLeftCell="A1">
      <selection activeCell="M24" sqref="M24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9" width="11.7109375" style="0" hidden="1" customWidth="1"/>
    <col min="10" max="12" width="11.7109375" style="0" customWidth="1"/>
    <col min="13" max="13" width="10.8515625" style="0" bestFit="1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8.00390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486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 hidden="1">
      <c r="A7" t="s">
        <v>714</v>
      </c>
      <c r="B7" s="4">
        <v>54.1002</v>
      </c>
      <c r="D7" s="2"/>
      <c r="E7" s="2"/>
      <c r="F7" s="18">
        <v>3363</v>
      </c>
      <c r="G7" s="18">
        <v>3500</v>
      </c>
      <c r="H7" s="18"/>
      <c r="I7" s="18"/>
      <c r="J7" s="18"/>
      <c r="K7" s="18"/>
      <c r="L7" s="18"/>
      <c r="P7" s="2"/>
      <c r="Q7" s="2"/>
      <c r="S7" s="92"/>
    </row>
    <row r="8" spans="1:19" ht="12.75" hidden="1">
      <c r="A8" t="s">
        <v>506</v>
      </c>
      <c r="B8" s="4">
        <v>54.1003</v>
      </c>
      <c r="E8" s="2"/>
      <c r="F8" s="36"/>
      <c r="G8" s="36"/>
      <c r="H8" s="36"/>
      <c r="I8" s="36"/>
      <c r="J8" s="36"/>
      <c r="K8" s="36"/>
      <c r="L8" s="36"/>
      <c r="P8" s="2"/>
      <c r="Q8" s="2"/>
      <c r="S8" s="92"/>
    </row>
    <row r="9" spans="1:19" ht="12.75" hidden="1">
      <c r="A9" t="s">
        <v>359</v>
      </c>
      <c r="B9" s="4">
        <v>54.1004</v>
      </c>
      <c r="D9" s="2"/>
      <c r="E9" s="2"/>
      <c r="F9" s="36"/>
      <c r="G9" s="36"/>
      <c r="H9" s="36">
        <v>9940</v>
      </c>
      <c r="I9" s="36"/>
      <c r="J9" s="36"/>
      <c r="K9" s="36"/>
      <c r="L9" s="36"/>
      <c r="O9" s="78"/>
      <c r="P9" s="2"/>
      <c r="Q9" s="2"/>
      <c r="S9" s="92"/>
    </row>
    <row r="10" spans="1:19" ht="12.75" hidden="1">
      <c r="A10" t="s">
        <v>519</v>
      </c>
      <c r="B10" s="4"/>
      <c r="D10" s="2"/>
      <c r="E10" s="2"/>
      <c r="F10" s="36">
        <v>10000</v>
      </c>
      <c r="G10" s="36"/>
      <c r="H10" s="36"/>
      <c r="I10" s="36"/>
      <c r="J10" s="36"/>
      <c r="K10" s="36"/>
      <c r="L10" s="36"/>
      <c r="O10" s="78"/>
      <c r="P10" s="2"/>
      <c r="Q10" s="2"/>
      <c r="S10" s="92"/>
    </row>
    <row r="11" spans="1:20" ht="12.75">
      <c r="A11" t="s">
        <v>653</v>
      </c>
      <c r="B11" s="4"/>
      <c r="D11" s="2"/>
      <c r="E11" s="2"/>
      <c r="F11" s="36"/>
      <c r="G11" s="36"/>
      <c r="H11" s="36"/>
      <c r="I11" s="36"/>
      <c r="J11" s="36"/>
      <c r="K11" s="36"/>
      <c r="L11" s="36">
        <v>6000</v>
      </c>
      <c r="P11" s="2"/>
      <c r="Q11" s="2"/>
      <c r="R11" s="2"/>
      <c r="S11" s="92"/>
      <c r="T11" t="s">
        <v>376</v>
      </c>
    </row>
    <row r="12" spans="1:19" ht="12.75">
      <c r="A12" t="s">
        <v>1024</v>
      </c>
      <c r="B12" s="4"/>
      <c r="D12" s="2"/>
      <c r="E12" s="2"/>
      <c r="F12" s="36"/>
      <c r="G12" s="36"/>
      <c r="H12" s="36"/>
      <c r="I12" s="36"/>
      <c r="J12" s="36"/>
      <c r="K12" s="36"/>
      <c r="L12" s="36"/>
      <c r="P12" s="2">
        <v>12465</v>
      </c>
      <c r="Q12" s="2"/>
      <c r="R12" s="2"/>
      <c r="S12" s="92"/>
    </row>
    <row r="13" spans="1:19" ht="12.75">
      <c r="A13" t="s">
        <v>1025</v>
      </c>
      <c r="B13" s="4"/>
      <c r="D13" s="2"/>
      <c r="E13" s="2"/>
      <c r="F13" s="36"/>
      <c r="G13" s="36"/>
      <c r="H13" s="36"/>
      <c r="I13" s="36"/>
      <c r="J13" s="36"/>
      <c r="K13" s="36"/>
      <c r="L13" s="36"/>
      <c r="P13" s="2">
        <v>3000</v>
      </c>
      <c r="Q13" s="2"/>
      <c r="R13" s="2"/>
      <c r="S13" s="92"/>
    </row>
    <row r="14" spans="2:19" ht="12.75">
      <c r="B14" s="4"/>
      <c r="D14" s="2"/>
      <c r="E14" s="2"/>
      <c r="F14" s="36"/>
      <c r="G14" s="36"/>
      <c r="H14" s="36"/>
      <c r="I14" s="36"/>
      <c r="J14" s="36"/>
      <c r="K14" s="36"/>
      <c r="L14" s="36"/>
      <c r="P14" s="2"/>
      <c r="Q14" s="2"/>
      <c r="R14" s="2"/>
      <c r="S14" s="92"/>
    </row>
    <row r="15" spans="1:20" ht="12.75">
      <c r="A15" t="s">
        <v>319</v>
      </c>
      <c r="B15" s="4">
        <v>57.214</v>
      </c>
      <c r="C15" s="2">
        <v>10000</v>
      </c>
      <c r="D15" s="2">
        <v>34910</v>
      </c>
      <c r="E15" s="2">
        <v>10000</v>
      </c>
      <c r="F15" s="2">
        <v>10000</v>
      </c>
      <c r="G15" s="2">
        <v>4675</v>
      </c>
      <c r="H15" s="2">
        <v>2500</v>
      </c>
      <c r="I15" s="2"/>
      <c r="J15" s="2">
        <v>7250</v>
      </c>
      <c r="K15" s="2">
        <v>7250</v>
      </c>
      <c r="L15" s="2">
        <v>7250</v>
      </c>
      <c r="M15" s="2">
        <v>6199</v>
      </c>
      <c r="N15" s="2">
        <v>6199</v>
      </c>
      <c r="O15" s="20">
        <v>6199</v>
      </c>
      <c r="P15" s="20">
        <v>12958</v>
      </c>
      <c r="Q15" s="2">
        <v>3500</v>
      </c>
      <c r="R15" s="2">
        <v>3500</v>
      </c>
      <c r="S15" s="92"/>
      <c r="T15" t="s">
        <v>1021</v>
      </c>
    </row>
    <row r="16" spans="2:19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92"/>
    </row>
    <row r="17" spans="2:19" ht="12.75">
      <c r="B17" s="4"/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</row>
    <row r="18" spans="1:19" ht="12.75">
      <c r="A18" s="6"/>
      <c r="B18" s="6"/>
      <c r="C18" s="7">
        <f>SUM(C7:C17)</f>
        <v>10000</v>
      </c>
      <c r="D18" s="8">
        <v>34910</v>
      </c>
      <c r="E18" s="8">
        <v>10000</v>
      </c>
      <c r="F18" s="8">
        <f>SUM(F7:F17)</f>
        <v>23363</v>
      </c>
      <c r="G18" s="8">
        <f>SUM(G7:G17)</f>
        <v>8175</v>
      </c>
      <c r="H18" s="8">
        <f>SUM(H7:H17)</f>
        <v>12440</v>
      </c>
      <c r="I18" s="8">
        <f>SUM(I7:I17)</f>
        <v>0</v>
      </c>
      <c r="J18" s="8">
        <v>7250</v>
      </c>
      <c r="K18" s="8">
        <f aca="true" t="shared" si="0" ref="K18:R18">SUM(K7:K17)</f>
        <v>7250</v>
      </c>
      <c r="L18" s="8">
        <v>13250</v>
      </c>
      <c r="M18" s="8">
        <f t="shared" si="0"/>
        <v>6199</v>
      </c>
      <c r="N18" s="8">
        <f t="shared" si="0"/>
        <v>6199</v>
      </c>
      <c r="O18" s="8">
        <f t="shared" si="0"/>
        <v>6199</v>
      </c>
      <c r="P18" s="8">
        <f t="shared" si="0"/>
        <v>28423</v>
      </c>
      <c r="Q18" s="8">
        <f t="shared" si="0"/>
        <v>3500</v>
      </c>
      <c r="R18" s="8">
        <f t="shared" si="0"/>
        <v>3500</v>
      </c>
      <c r="S18" s="53">
        <f>(R18-O18)/O18</f>
        <v>-0.435392805291176</v>
      </c>
    </row>
    <row r="19" ht="12.75">
      <c r="S19" s="52"/>
    </row>
    <row r="20" spans="1:19" ht="12.75">
      <c r="A20" t="s">
        <v>594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2" t="s">
        <v>488</v>
      </c>
      <c r="P20" s="22"/>
      <c r="Q20" s="56">
        <f>P18-Q18</f>
        <v>24923</v>
      </c>
      <c r="R20" s="6"/>
      <c r="S20" s="52"/>
    </row>
    <row r="21" spans="1:19" ht="12.75">
      <c r="A21" t="s">
        <v>654</v>
      </c>
      <c r="O21" s="22" t="s">
        <v>761</v>
      </c>
      <c r="P21" s="22"/>
      <c r="Q21" s="56">
        <f>O18-Q18</f>
        <v>2699</v>
      </c>
      <c r="S21" s="52"/>
    </row>
    <row r="22" spans="1:21" ht="12.75">
      <c r="A22" t="s">
        <v>674</v>
      </c>
      <c r="O22" s="22" t="s">
        <v>436</v>
      </c>
      <c r="P22" s="22"/>
      <c r="Q22" s="56">
        <f>Q18-R18</f>
        <v>0</v>
      </c>
      <c r="S22" s="52"/>
      <c r="U22" t="s">
        <v>683</v>
      </c>
    </row>
    <row r="23" spans="1:19" ht="12.75">
      <c r="A23" t="s">
        <v>1022</v>
      </c>
      <c r="O23" s="22"/>
      <c r="P23" s="22"/>
      <c r="Q23" s="56"/>
      <c r="S23" s="52"/>
    </row>
    <row r="24" ht="12.75">
      <c r="S24" s="52"/>
    </row>
    <row r="25" spans="1:19" ht="12.75">
      <c r="A25" s="6"/>
      <c r="S25" s="52"/>
    </row>
    <row r="26" spans="1:19" ht="12.75">
      <c r="A26" s="6" t="s">
        <v>1026</v>
      </c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54" ht="12.75">
      <c r="S54" s="2"/>
    </row>
    <row r="55" ht="12.75">
      <c r="S55" s="2"/>
    </row>
    <row r="56" ht="12.75">
      <c r="S56" s="2"/>
    </row>
    <row r="57" ht="12.75">
      <c r="S57" s="2"/>
    </row>
    <row r="58" ht="12.75">
      <c r="S58" s="2"/>
    </row>
    <row r="59" ht="12.75">
      <c r="S59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U65"/>
  <sheetViews>
    <sheetView zoomScale="75" zoomScaleNormal="75" workbookViewId="0" topLeftCell="A1">
      <selection activeCell="M9" sqref="M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9" width="11.710937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8.00390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487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19" ht="12.75">
      <c r="A7" t="s">
        <v>715</v>
      </c>
      <c r="B7" s="4">
        <v>57.107</v>
      </c>
      <c r="C7" s="2">
        <v>4500</v>
      </c>
      <c r="D7" s="2">
        <v>4500</v>
      </c>
      <c r="E7" s="2">
        <v>4500</v>
      </c>
      <c r="F7" s="2">
        <v>4500</v>
      </c>
      <c r="G7" s="2">
        <v>5000</v>
      </c>
      <c r="H7" s="2">
        <v>1125</v>
      </c>
      <c r="I7" s="2">
        <v>4625</v>
      </c>
      <c r="J7" s="2">
        <v>4500</v>
      </c>
      <c r="K7" s="2"/>
      <c r="L7" s="2"/>
      <c r="M7" s="2"/>
      <c r="N7" s="2"/>
      <c r="O7" s="2"/>
      <c r="P7" s="2"/>
      <c r="Q7" s="2"/>
      <c r="R7" s="2"/>
      <c r="S7" s="92" t="e">
        <f>(R7-O7)/O7</f>
        <v>#DIV/0!</v>
      </c>
    </row>
    <row r="8" spans="2:19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2"/>
    </row>
    <row r="9" spans="1:19" ht="12.75">
      <c r="A9" t="s">
        <v>400</v>
      </c>
      <c r="B9" s="4">
        <v>57.1075</v>
      </c>
      <c r="C9" s="2"/>
      <c r="D9" s="2"/>
      <c r="E9" s="2"/>
      <c r="F9" s="2"/>
      <c r="G9" s="2">
        <v>500</v>
      </c>
      <c r="H9" s="2"/>
      <c r="I9" s="2"/>
      <c r="J9" s="2">
        <v>100</v>
      </c>
      <c r="K9" s="2">
        <v>100</v>
      </c>
      <c r="L9" s="2">
        <v>100</v>
      </c>
      <c r="M9" s="2">
        <v>855</v>
      </c>
      <c r="N9" s="2">
        <v>855</v>
      </c>
      <c r="O9" s="2">
        <v>855</v>
      </c>
      <c r="P9" s="2">
        <v>855</v>
      </c>
      <c r="Q9" s="2">
        <v>855</v>
      </c>
      <c r="R9" s="2">
        <v>100</v>
      </c>
      <c r="S9" s="92">
        <f>(R9-O9)/O9</f>
        <v>-0.8830409356725146</v>
      </c>
    </row>
    <row r="10" spans="2:19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2"/>
    </row>
    <row r="11" spans="1:19" ht="12.75">
      <c r="A11" s="6" t="s">
        <v>116</v>
      </c>
      <c r="B11" s="6"/>
      <c r="C11" s="8">
        <f>SUM(C7:C7)</f>
        <v>4500</v>
      </c>
      <c r="D11" s="8">
        <f>SUM(D7:D7)</f>
        <v>4500</v>
      </c>
      <c r="E11" s="8">
        <f>SUM(E7:E10)</f>
        <v>4500</v>
      </c>
      <c r="F11" s="8">
        <f>SUM(F7:F10)</f>
        <v>4500</v>
      </c>
      <c r="G11" s="8">
        <f>SUM(G7:G10)</f>
        <v>5500</v>
      </c>
      <c r="H11" s="8">
        <f>SUM(H7:H10)</f>
        <v>1125</v>
      </c>
      <c r="I11" s="8">
        <f>SUM(I7:I10)</f>
        <v>4625</v>
      </c>
      <c r="J11" s="8">
        <v>4600</v>
      </c>
      <c r="K11" s="8">
        <f aca="true" t="shared" si="0" ref="K11:R11">SUM(K7:K10)</f>
        <v>100</v>
      </c>
      <c r="L11" s="8">
        <v>100</v>
      </c>
      <c r="M11" s="8">
        <f t="shared" si="0"/>
        <v>855</v>
      </c>
      <c r="N11" s="8">
        <f t="shared" si="0"/>
        <v>855</v>
      </c>
      <c r="O11" s="8">
        <f t="shared" si="0"/>
        <v>855</v>
      </c>
      <c r="P11" s="8">
        <f t="shared" si="0"/>
        <v>855</v>
      </c>
      <c r="Q11" s="8">
        <f t="shared" si="0"/>
        <v>855</v>
      </c>
      <c r="R11" s="8">
        <f t="shared" si="0"/>
        <v>100</v>
      </c>
      <c r="S11" s="53">
        <f>(R11-O11)/O11</f>
        <v>-0.8830409356725146</v>
      </c>
    </row>
    <row r="12" ht="12.75">
      <c r="S12" s="52"/>
    </row>
    <row r="13" spans="15:19" ht="12.75">
      <c r="O13" s="22" t="s">
        <v>488</v>
      </c>
      <c r="P13" s="22"/>
      <c r="Q13" s="56">
        <f>P11-Q11</f>
        <v>0</v>
      </c>
      <c r="S13" s="52"/>
    </row>
    <row r="14" spans="15:19" ht="12.75">
      <c r="O14" s="22" t="s">
        <v>761</v>
      </c>
      <c r="P14" s="22"/>
      <c r="Q14" s="56">
        <f>O11-Q11</f>
        <v>0</v>
      </c>
      <c r="S14" s="52"/>
    </row>
    <row r="15" spans="15:19" ht="12.75">
      <c r="O15" s="22" t="s">
        <v>436</v>
      </c>
      <c r="P15" s="22"/>
      <c r="Q15" s="56">
        <f>Q11-R11</f>
        <v>755</v>
      </c>
      <c r="S15" s="52"/>
    </row>
    <row r="16" ht="12.75"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ht="12.75">
      <c r="S60" s="2"/>
    </row>
    <row r="61" ht="12.75">
      <c r="S61" s="2"/>
    </row>
    <row r="62" ht="12.75">
      <c r="S62" s="2"/>
    </row>
    <row r="63" ht="12.75">
      <c r="S63" s="2"/>
    </row>
    <row r="64" ht="12.75">
      <c r="S64" s="2"/>
    </row>
    <row r="65" ht="12.75">
      <c r="S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U69"/>
  <sheetViews>
    <sheetView zoomScale="75" zoomScaleNormal="75" workbookViewId="0" topLeftCell="A1">
      <selection activeCell="N9" sqref="N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6" width="6.421875" style="0" bestFit="1" customWidth="1"/>
    <col min="7" max="12" width="8.00390625" style="0" bestFit="1" customWidth="1"/>
    <col min="13" max="14" width="7.57421875" style="0" bestFit="1" customWidth="1"/>
    <col min="15" max="15" width="8.140625" style="0" customWidth="1"/>
    <col min="16" max="16" width="8.421875" style="0" customWidth="1"/>
    <col min="17" max="17" width="11.00390625" style="0" bestFit="1" customWidth="1"/>
    <col min="18" max="18" width="8.00390625" style="0" bestFit="1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507</v>
      </c>
      <c r="M3" s="57">
        <v>10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362</v>
      </c>
      <c r="B7" s="4">
        <v>57.108</v>
      </c>
      <c r="C7" s="2"/>
      <c r="D7" s="2"/>
      <c r="E7" s="2"/>
      <c r="F7" s="2"/>
      <c r="G7" s="2">
        <v>25000</v>
      </c>
      <c r="H7" s="2">
        <v>20000</v>
      </c>
      <c r="I7" s="2">
        <v>20000</v>
      </c>
      <c r="J7" s="2">
        <v>20000</v>
      </c>
      <c r="K7" s="2">
        <v>25000</v>
      </c>
      <c r="L7" s="2">
        <v>25000</v>
      </c>
      <c r="M7" s="2">
        <v>21375</v>
      </c>
      <c r="N7" s="2">
        <v>21375</v>
      </c>
      <c r="O7" s="2">
        <v>21375</v>
      </c>
      <c r="P7" s="2">
        <v>21375</v>
      </c>
      <c r="Q7" s="2">
        <v>15000</v>
      </c>
      <c r="R7" s="2">
        <v>15000</v>
      </c>
      <c r="S7" s="92">
        <f>(R7-O7)/O7</f>
        <v>-0.2982456140350877</v>
      </c>
      <c r="T7" t="s">
        <v>376</v>
      </c>
    </row>
    <row r="8" spans="1:19" ht="12.75">
      <c r="A8" t="s">
        <v>46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>
        <v>1532</v>
      </c>
      <c r="N8" s="2">
        <v>1532</v>
      </c>
      <c r="O8" s="2"/>
      <c r="P8" s="2"/>
      <c r="Q8" s="2"/>
      <c r="R8" s="2"/>
      <c r="S8" s="92"/>
    </row>
    <row r="9" spans="1:19" ht="12.75">
      <c r="A9" t="s">
        <v>977</v>
      </c>
      <c r="B9" s="4"/>
      <c r="C9" s="2"/>
      <c r="D9" s="2"/>
      <c r="E9" s="2"/>
      <c r="F9" s="2"/>
      <c r="G9" s="2"/>
      <c r="H9" s="2"/>
      <c r="I9" s="2"/>
      <c r="J9" s="2"/>
      <c r="K9" s="2"/>
      <c r="L9" s="2">
        <v>1884</v>
      </c>
      <c r="M9" s="2"/>
      <c r="N9" s="2"/>
      <c r="O9" s="2"/>
      <c r="P9" s="2"/>
      <c r="Q9" s="2"/>
      <c r="R9" s="2"/>
      <c r="S9" s="52"/>
    </row>
    <row r="10" spans="1:19" ht="12.75">
      <c r="A10" s="6" t="s">
        <v>116</v>
      </c>
      <c r="B10" s="6"/>
      <c r="C10" s="8" t="e">
        <f>SUM(#REF!)</f>
        <v>#REF!</v>
      </c>
      <c r="D10" s="8"/>
      <c r="E10" s="8">
        <f>SUM(E7:E9)</f>
        <v>0</v>
      </c>
      <c r="F10" s="8">
        <f>SUM(F7:F9)</f>
        <v>0</v>
      </c>
      <c r="G10" s="8">
        <f>SUM(G7:G9)</f>
        <v>25000</v>
      </c>
      <c r="H10" s="8">
        <f>SUM(H7:H9)</f>
        <v>20000</v>
      </c>
      <c r="I10" s="8">
        <f>SUM(I7:I9)</f>
        <v>20000</v>
      </c>
      <c r="J10" s="8">
        <v>20000</v>
      </c>
      <c r="K10" s="8">
        <f aca="true" t="shared" si="0" ref="K10:R10">SUM(K7:K9)</f>
        <v>25000</v>
      </c>
      <c r="L10" s="8">
        <v>26884</v>
      </c>
      <c r="M10" s="8">
        <f t="shared" si="0"/>
        <v>22907</v>
      </c>
      <c r="N10" s="8">
        <f t="shared" si="0"/>
        <v>22907</v>
      </c>
      <c r="O10" s="8">
        <f t="shared" si="0"/>
        <v>21375</v>
      </c>
      <c r="P10" s="8">
        <f t="shared" si="0"/>
        <v>21375</v>
      </c>
      <c r="Q10" s="8">
        <f t="shared" si="0"/>
        <v>15000</v>
      </c>
      <c r="R10" s="8">
        <f t="shared" si="0"/>
        <v>15000</v>
      </c>
      <c r="S10" s="53">
        <f>(R10-O10)/O10</f>
        <v>-0.2982456140350877</v>
      </c>
    </row>
    <row r="11" ht="12.75">
      <c r="S11" s="52"/>
    </row>
    <row r="12" spans="15:19" ht="12.75">
      <c r="O12" s="22" t="s">
        <v>488</v>
      </c>
      <c r="P12" s="22"/>
      <c r="Q12" s="56">
        <f>P10-Q10</f>
        <v>6375</v>
      </c>
      <c r="S12" s="52"/>
    </row>
    <row r="13" spans="15:19" ht="12.75">
      <c r="O13" s="22" t="s">
        <v>761</v>
      </c>
      <c r="P13" s="22"/>
      <c r="Q13" s="56">
        <f>O10-Q10</f>
        <v>6375</v>
      </c>
      <c r="S13" s="52"/>
    </row>
    <row r="14" spans="15:19" ht="12.75">
      <c r="O14" s="22" t="s">
        <v>436</v>
      </c>
      <c r="P14" s="22"/>
      <c r="Q14" s="56">
        <f>Q10-R10</f>
        <v>0</v>
      </c>
      <c r="S14" s="52"/>
    </row>
    <row r="15" spans="1:19" ht="12.75">
      <c r="A15" t="s">
        <v>996</v>
      </c>
      <c r="S15" s="52"/>
    </row>
    <row r="16" spans="1:19" ht="12.75">
      <c r="A16" s="6"/>
      <c r="S16" s="52"/>
    </row>
    <row r="17" ht="12.75">
      <c r="S17" s="52"/>
    </row>
    <row r="18" ht="12.75">
      <c r="S18" s="52"/>
    </row>
    <row r="19" spans="1:19" ht="12.75">
      <c r="A19" s="6"/>
      <c r="S19" s="52"/>
    </row>
    <row r="20" ht="12.75">
      <c r="S20" s="52"/>
    </row>
    <row r="21" spans="19:21" ht="12.75">
      <c r="S21" s="52"/>
      <c r="U21" t="s">
        <v>683</v>
      </c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31" ht="12.75">
      <c r="S31" s="52"/>
    </row>
    <row r="32" ht="12.75">
      <c r="S32" s="52"/>
    </row>
    <row r="33" ht="12.75">
      <c r="S33" s="52"/>
    </row>
    <row r="34" ht="12.75">
      <c r="S34" s="52"/>
    </row>
    <row r="35" ht="12.75">
      <c r="S35" s="52"/>
    </row>
    <row r="36" ht="12.75">
      <c r="S36" s="52"/>
    </row>
    <row r="37" ht="12.75">
      <c r="S37" s="52"/>
    </row>
    <row r="38" ht="12.75">
      <c r="S38" s="52"/>
    </row>
    <row r="39" ht="12.75">
      <c r="S39" s="52"/>
    </row>
    <row r="40" ht="12.75">
      <c r="S40" s="52"/>
    </row>
    <row r="41" ht="12.75">
      <c r="S41" s="52"/>
    </row>
    <row r="42" ht="12.75">
      <c r="S42" s="52"/>
    </row>
    <row r="43" ht="12.75">
      <c r="S43" s="52"/>
    </row>
    <row r="44" ht="12.75">
      <c r="S44" s="52"/>
    </row>
    <row r="45" ht="12.75">
      <c r="S45" s="52"/>
    </row>
    <row r="46" ht="12.75">
      <c r="S46" s="52"/>
    </row>
    <row r="47" ht="12.75">
      <c r="S47" s="52"/>
    </row>
    <row r="48" ht="12.75">
      <c r="S48" s="52"/>
    </row>
    <row r="49" ht="12.75">
      <c r="S49" s="52"/>
    </row>
    <row r="50" ht="12.75">
      <c r="S50" s="52"/>
    </row>
    <row r="51" ht="12.75">
      <c r="S51" s="5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4" ht="12.75">
      <c r="S64" s="2"/>
    </row>
    <row r="65" ht="12.75">
      <c r="S65" s="2"/>
    </row>
    <row r="66" ht="12.75">
      <c r="S66" s="2"/>
    </row>
    <row r="67" ht="12.75">
      <c r="S67" s="2"/>
    </row>
    <row r="68" ht="12.75">
      <c r="S68" s="2"/>
    </row>
    <row r="69" ht="12.75">
      <c r="S69" s="2"/>
    </row>
  </sheetData>
  <printOptions gridLines="1"/>
  <pageMargins left="0.25" right="0.25" top="1" bottom="0.55" header="0.5" footer="0.25"/>
  <pageSetup fitToHeight="1" fitToWidth="1" horizontalDpi="300" verticalDpi="300" orientation="landscape" scale="71" r:id="rId1"/>
  <headerFooter alignWithMargins="0">
    <oddFooter>&amp;L&amp;F
&amp;A&amp;CPage &amp;P of &amp;N&amp;R&amp;D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2:AG37"/>
  <sheetViews>
    <sheetView workbookViewId="0" topLeftCell="A1">
      <selection activeCell="X5" sqref="X5"/>
    </sheetView>
  </sheetViews>
  <sheetFormatPr defaultColWidth="9.140625" defaultRowHeight="12.75"/>
  <cols>
    <col min="1" max="1" width="15.00390625" style="0" bestFit="1" customWidth="1"/>
    <col min="2" max="2" width="9.28125" style="0" hidden="1" customWidth="1"/>
    <col min="3" max="3" width="0.13671875" style="0" hidden="1" customWidth="1"/>
    <col min="4" max="4" width="8.8515625" style="0" hidden="1" customWidth="1"/>
    <col min="5" max="5" width="9.57421875" style="0" hidden="1" customWidth="1"/>
    <col min="6" max="6" width="0.13671875" style="0" hidden="1" customWidth="1"/>
    <col min="7" max="7" width="9.28125" style="0" hidden="1" customWidth="1"/>
    <col min="8" max="8" width="9.57421875" style="0" hidden="1" customWidth="1"/>
    <col min="9" max="9" width="8.140625" style="0" hidden="1" customWidth="1"/>
    <col min="10" max="10" width="8.8515625" style="0" hidden="1" customWidth="1"/>
    <col min="11" max="11" width="11.140625" style="0" hidden="1" customWidth="1"/>
    <col min="12" max="12" width="11.00390625" style="0" hidden="1" customWidth="1"/>
    <col min="13" max="13" width="8.8515625" style="0" hidden="1" customWidth="1"/>
    <col min="14" max="14" width="14.00390625" style="0" hidden="1" customWidth="1"/>
    <col min="15" max="15" width="9.140625" style="0" hidden="1" customWidth="1"/>
    <col min="16" max="17" width="9.28125" style="0" hidden="1" customWidth="1"/>
    <col min="18" max="18" width="9.140625" style="0" hidden="1" customWidth="1"/>
    <col min="19" max="20" width="9.28125" style="0" hidden="1" customWidth="1"/>
    <col min="22" max="23" width="9.28125" style="0" bestFit="1" customWidth="1"/>
    <col min="25" max="26" width="9.28125" style="0" bestFit="1" customWidth="1"/>
  </cols>
  <sheetData>
    <row r="2" spans="4:26" ht="12.75">
      <c r="D2" t="s">
        <v>587</v>
      </c>
      <c r="G2" t="s">
        <v>588</v>
      </c>
      <c r="J2" t="s">
        <v>610</v>
      </c>
      <c r="K2" s="57" t="s">
        <v>612</v>
      </c>
      <c r="M2" t="s">
        <v>724</v>
      </c>
      <c r="N2" s="57" t="s">
        <v>612</v>
      </c>
      <c r="P2" t="s">
        <v>759</v>
      </c>
      <c r="Q2" s="57" t="s">
        <v>790</v>
      </c>
      <c r="S2" t="s">
        <v>885</v>
      </c>
      <c r="T2" s="57" t="s">
        <v>872</v>
      </c>
      <c r="U2" s="6" t="s">
        <v>67</v>
      </c>
      <c r="V2" t="s">
        <v>879</v>
      </c>
      <c r="W2" s="57"/>
      <c r="Y2" t="s">
        <v>66</v>
      </c>
      <c r="Z2" s="57"/>
    </row>
    <row r="3" spans="1:26" ht="12.75">
      <c r="A3" s="61"/>
      <c r="B3" s="64" t="s">
        <v>491</v>
      </c>
      <c r="C3" s="65" t="s">
        <v>540</v>
      </c>
      <c r="D3" s="39" t="s">
        <v>492</v>
      </c>
      <c r="E3" s="39" t="s">
        <v>493</v>
      </c>
      <c r="F3" s="39" t="s">
        <v>499</v>
      </c>
      <c r="G3" s="39" t="s">
        <v>492</v>
      </c>
      <c r="H3" s="39" t="s">
        <v>493</v>
      </c>
      <c r="I3" s="65" t="s">
        <v>611</v>
      </c>
      <c r="J3" s="39" t="s">
        <v>492</v>
      </c>
      <c r="K3" s="39" t="s">
        <v>493</v>
      </c>
      <c r="L3" s="65" t="s">
        <v>760</v>
      </c>
      <c r="M3" s="39" t="s">
        <v>492</v>
      </c>
      <c r="N3" s="39" t="s">
        <v>493</v>
      </c>
      <c r="O3" s="65" t="s">
        <v>791</v>
      </c>
      <c r="P3" s="39" t="s">
        <v>492</v>
      </c>
      <c r="Q3" s="39" t="s">
        <v>493</v>
      </c>
      <c r="R3" s="65" t="s">
        <v>880</v>
      </c>
      <c r="S3" s="39" t="s">
        <v>492</v>
      </c>
      <c r="T3" s="39" t="s">
        <v>493</v>
      </c>
      <c r="U3" s="65" t="s">
        <v>881</v>
      </c>
      <c r="V3" s="39" t="s">
        <v>492</v>
      </c>
      <c r="W3" s="39" t="s">
        <v>493</v>
      </c>
      <c r="X3" s="65" t="s">
        <v>881</v>
      </c>
      <c r="Y3" s="39" t="s">
        <v>492</v>
      </c>
      <c r="Z3" s="39" t="s">
        <v>493</v>
      </c>
    </row>
    <row r="4" spans="2:24" ht="12.75">
      <c r="B4" s="66"/>
      <c r="C4" s="67"/>
      <c r="I4" s="67"/>
      <c r="L4" s="67"/>
      <c r="O4" s="67"/>
      <c r="R4" s="67"/>
      <c r="U4" s="67"/>
      <c r="X4" s="67"/>
    </row>
    <row r="5" spans="1:26" ht="12.75">
      <c r="A5" t="s">
        <v>494</v>
      </c>
      <c r="B5" s="66">
        <v>227.14</v>
      </c>
      <c r="C5" s="67">
        <v>242.43</v>
      </c>
      <c r="D5">
        <f>C5-B5</f>
        <v>15.29000000000002</v>
      </c>
      <c r="E5" s="69">
        <f>D5/B5</f>
        <v>0.0673153121422912</v>
      </c>
      <c r="F5">
        <v>254.34</v>
      </c>
      <c r="G5" s="68">
        <f>F5-C5</f>
        <v>11.909999999999997</v>
      </c>
      <c r="H5" s="69">
        <f>G5/C5</f>
        <v>0.04912758321989851</v>
      </c>
      <c r="I5" s="67">
        <v>255.14</v>
      </c>
      <c r="J5">
        <f>I5-F5</f>
        <v>0.799999999999983</v>
      </c>
      <c r="K5" s="69">
        <f>J5/F5</f>
        <v>0.003145395926712208</v>
      </c>
      <c r="L5" s="67">
        <v>273</v>
      </c>
      <c r="M5">
        <f>L5-I5</f>
        <v>17.860000000000014</v>
      </c>
      <c r="N5" s="69">
        <f>M5/I5</f>
        <v>0.07000078388335822</v>
      </c>
      <c r="O5" s="67">
        <v>329.36</v>
      </c>
      <c r="P5">
        <f>O5-L5</f>
        <v>56.360000000000014</v>
      </c>
      <c r="Q5" s="69">
        <f>P5/L5</f>
        <v>0.2064468864468865</v>
      </c>
      <c r="R5" s="67">
        <v>359.58</v>
      </c>
      <c r="S5">
        <f>R5-O5</f>
        <v>30.21999999999997</v>
      </c>
      <c r="T5" s="69">
        <f>S5/O5</f>
        <v>0.09175370415350974</v>
      </c>
      <c r="U5" s="71">
        <v>372.66</v>
      </c>
      <c r="V5" s="68">
        <f>U5-R5</f>
        <v>13.080000000000041</v>
      </c>
      <c r="W5" s="69">
        <f>V5/R5</f>
        <v>0.03637577173368942</v>
      </c>
      <c r="X5" s="71">
        <f>U5*(1+AF25)</f>
        <v>399.83141772275695</v>
      </c>
      <c r="Y5" s="68">
        <f>X5-U5</f>
        <v>27.171417722756928</v>
      </c>
      <c r="Z5" s="69">
        <f>Y5/U5</f>
        <v>0.0729120853398726</v>
      </c>
    </row>
    <row r="6" spans="2:26" ht="12.75">
      <c r="B6" s="66"/>
      <c r="C6" s="67"/>
      <c r="E6" s="69"/>
      <c r="H6" s="69"/>
      <c r="I6" s="67"/>
      <c r="K6" s="69"/>
      <c r="L6" s="67"/>
      <c r="N6" s="69"/>
      <c r="O6" s="67"/>
      <c r="Q6" s="69"/>
      <c r="R6" s="67"/>
      <c r="T6" s="69"/>
      <c r="U6" s="67"/>
      <c r="W6" s="69"/>
      <c r="X6" s="67"/>
      <c r="Z6" s="69"/>
    </row>
    <row r="7" spans="1:26" ht="12.75">
      <c r="A7" t="s">
        <v>495</v>
      </c>
      <c r="B7" s="66">
        <v>3.96</v>
      </c>
      <c r="C7" s="71">
        <v>4.2</v>
      </c>
      <c r="D7" s="68">
        <f>C7-B7</f>
        <v>0.2400000000000002</v>
      </c>
      <c r="E7" s="69">
        <f>D7/B7</f>
        <v>0.06060606060606066</v>
      </c>
      <c r="F7" s="68">
        <v>4.2</v>
      </c>
      <c r="G7" s="68">
        <f>F7-C7</f>
        <v>0</v>
      </c>
      <c r="H7" s="70">
        <f>G7/B7</f>
        <v>0</v>
      </c>
      <c r="I7" s="71">
        <v>4.2</v>
      </c>
      <c r="J7">
        <f>I7-F7</f>
        <v>0</v>
      </c>
      <c r="K7" s="69">
        <f>J7/F7</f>
        <v>0</v>
      </c>
      <c r="L7" s="71">
        <v>4.2</v>
      </c>
      <c r="M7">
        <f>L7-I7</f>
        <v>0</v>
      </c>
      <c r="N7" s="69">
        <f>M7/I7</f>
        <v>0</v>
      </c>
      <c r="O7" s="71">
        <v>4.2</v>
      </c>
      <c r="P7">
        <f>O7-L7</f>
        <v>0</v>
      </c>
      <c r="Q7" s="69">
        <f>P7/L7</f>
        <v>0</v>
      </c>
      <c r="R7" s="71">
        <v>4.2</v>
      </c>
      <c r="S7">
        <f>R7-O7</f>
        <v>0</v>
      </c>
      <c r="T7" s="69">
        <f>S7/O7</f>
        <v>0</v>
      </c>
      <c r="U7" s="71">
        <v>4.2</v>
      </c>
      <c r="V7">
        <f>U7-R7</f>
        <v>0</v>
      </c>
      <c r="W7" s="69">
        <f>V7/R7</f>
        <v>0</v>
      </c>
      <c r="X7" s="71">
        <v>4.2</v>
      </c>
      <c r="Y7">
        <f>X7-U7</f>
        <v>0</v>
      </c>
      <c r="Z7" s="69">
        <f>Y7/U7</f>
        <v>0</v>
      </c>
    </row>
    <row r="8" spans="2:26" ht="12.75">
      <c r="B8" s="66"/>
      <c r="C8" s="71"/>
      <c r="E8" s="69"/>
      <c r="F8" s="68"/>
      <c r="H8" s="70"/>
      <c r="I8" s="71"/>
      <c r="K8" s="69"/>
      <c r="L8" s="71"/>
      <c r="N8" s="69"/>
      <c r="O8" s="71"/>
      <c r="Q8" s="69"/>
      <c r="R8" s="71"/>
      <c r="T8" s="69"/>
      <c r="U8" s="71"/>
      <c r="W8" s="69"/>
      <c r="X8" s="71"/>
      <c r="Z8" s="69"/>
    </row>
    <row r="9" spans="1:26" ht="12.75">
      <c r="A9" t="s">
        <v>496</v>
      </c>
      <c r="B9" s="66">
        <v>5.3</v>
      </c>
      <c r="C9" s="71">
        <v>5.3</v>
      </c>
      <c r="D9">
        <f>C9-B9</f>
        <v>0</v>
      </c>
      <c r="E9" s="69">
        <f>D9/B9</f>
        <v>0</v>
      </c>
      <c r="F9" s="68">
        <v>6</v>
      </c>
      <c r="G9">
        <v>0</v>
      </c>
      <c r="H9">
        <v>0</v>
      </c>
      <c r="I9" s="71">
        <v>6</v>
      </c>
      <c r="J9">
        <f>I9-F9</f>
        <v>0</v>
      </c>
      <c r="K9" s="69">
        <f>J9/F9</f>
        <v>0</v>
      </c>
      <c r="L9" s="71">
        <v>6</v>
      </c>
      <c r="M9">
        <f>L9-I9</f>
        <v>0</v>
      </c>
      <c r="N9" s="69">
        <f>M9/I9</f>
        <v>0</v>
      </c>
      <c r="O9" s="71">
        <v>6</v>
      </c>
      <c r="P9">
        <f>O9-L9</f>
        <v>0</v>
      </c>
      <c r="Q9" s="69">
        <f>P9/L9</f>
        <v>0</v>
      </c>
      <c r="R9" s="71">
        <v>6</v>
      </c>
      <c r="S9">
        <f>R9-O9</f>
        <v>0</v>
      </c>
      <c r="T9" s="69">
        <f>S9/O9</f>
        <v>0</v>
      </c>
      <c r="U9" s="71">
        <v>6</v>
      </c>
      <c r="V9">
        <f>U9-R9</f>
        <v>0</v>
      </c>
      <c r="W9" s="69">
        <f>V9/R9</f>
        <v>0</v>
      </c>
      <c r="X9" s="71">
        <v>6</v>
      </c>
      <c r="Y9">
        <f>X9-U9</f>
        <v>0</v>
      </c>
      <c r="Z9" s="69">
        <f>Y9/U9</f>
        <v>0</v>
      </c>
    </row>
    <row r="10" spans="2:26" ht="12.75">
      <c r="B10" s="66"/>
      <c r="C10" s="67"/>
      <c r="E10" s="69"/>
      <c r="I10" s="67"/>
      <c r="K10" s="69"/>
      <c r="L10" s="67"/>
      <c r="N10" s="69"/>
      <c r="O10" s="67"/>
      <c r="Q10" s="69"/>
      <c r="R10" s="67"/>
      <c r="T10" s="69"/>
      <c r="U10" s="67"/>
      <c r="W10" s="69"/>
      <c r="X10" s="67"/>
      <c r="Z10" s="69"/>
    </row>
    <row r="11" spans="2:26" ht="13.5" thickBot="1">
      <c r="B11" s="66"/>
      <c r="C11" s="67"/>
      <c r="E11" s="69"/>
      <c r="F11" s="108"/>
      <c r="G11" s="108"/>
      <c r="H11" s="108"/>
      <c r="I11" s="109"/>
      <c r="J11" s="108"/>
      <c r="K11" s="110"/>
      <c r="L11" s="109"/>
      <c r="M11" s="108"/>
      <c r="N11" s="110"/>
      <c r="O11" s="109"/>
      <c r="P11" s="108"/>
      <c r="Q11" s="110"/>
      <c r="R11" s="109"/>
      <c r="S11" s="108"/>
      <c r="T11" s="110"/>
      <c r="U11" s="109"/>
      <c r="V11" s="108"/>
      <c r="W11" s="110"/>
      <c r="X11" s="109"/>
      <c r="Y11" s="108"/>
      <c r="Z11" s="110"/>
    </row>
    <row r="12" spans="1:26" ht="13.5" thickTop="1">
      <c r="A12" s="40" t="s">
        <v>497</v>
      </c>
      <c r="B12" s="72">
        <f>SUM(B5:B11)</f>
        <v>236.4</v>
      </c>
      <c r="C12" s="67">
        <f>SUM(C5:C11)</f>
        <v>251.93</v>
      </c>
      <c r="D12">
        <f>C12-B12</f>
        <v>15.530000000000001</v>
      </c>
      <c r="E12" s="69">
        <f>D12/B12</f>
        <v>0.0656937394247039</v>
      </c>
      <c r="F12">
        <f>SUM(F5:F11)</f>
        <v>264.54</v>
      </c>
      <c r="G12" s="68">
        <f>F12-C12</f>
        <v>12.610000000000014</v>
      </c>
      <c r="H12" s="69">
        <f>G12/C12</f>
        <v>0.05005358631365861</v>
      </c>
      <c r="I12" s="67">
        <f>SUM(I5:I11)</f>
        <v>265.34</v>
      </c>
      <c r="J12">
        <f>I12-F12</f>
        <v>0.7999999999999545</v>
      </c>
      <c r="K12" s="69">
        <f>J12/F12</f>
        <v>0.003024117335752455</v>
      </c>
      <c r="L12" s="67">
        <f>SUM(L5:L11)</f>
        <v>283.2</v>
      </c>
      <c r="M12">
        <f>L12-I12</f>
        <v>17.860000000000014</v>
      </c>
      <c r="N12" s="69">
        <f>M12/I12</f>
        <v>0.06730986658626674</v>
      </c>
      <c r="O12" s="67">
        <f>SUM(O5:O11)</f>
        <v>339.56</v>
      </c>
      <c r="P12">
        <f>O12-L12</f>
        <v>56.360000000000014</v>
      </c>
      <c r="Q12" s="69">
        <f>P12/L12</f>
        <v>0.1990112994350283</v>
      </c>
      <c r="R12" s="67">
        <f>SUM(R5:R11)</f>
        <v>369.78</v>
      </c>
      <c r="S12">
        <f>R12-O12</f>
        <v>30.21999999999997</v>
      </c>
      <c r="T12" s="69">
        <f>S12/O12</f>
        <v>0.08899752621038982</v>
      </c>
      <c r="U12" s="71">
        <f>SUM(U5:U11)</f>
        <v>382.86</v>
      </c>
      <c r="V12" s="68">
        <f>U12-R12</f>
        <v>13.080000000000041</v>
      </c>
      <c r="W12" s="69">
        <f>V12/R12</f>
        <v>0.035372383579425716</v>
      </c>
      <c r="X12" s="71">
        <f>SUM(X5:X11)</f>
        <v>410.03141772275694</v>
      </c>
      <c r="Y12" s="68">
        <f>X12-U12</f>
        <v>27.171417722756928</v>
      </c>
      <c r="Z12" s="69">
        <f>Y12/U12</f>
        <v>0.07096959129383307</v>
      </c>
    </row>
    <row r="13" spans="1:11" ht="13.5" thickBot="1">
      <c r="A13" s="40"/>
      <c r="B13" s="72"/>
      <c r="C13" s="67"/>
      <c r="E13" s="69"/>
      <c r="F13" s="6"/>
      <c r="G13" s="68"/>
      <c r="H13" s="69"/>
      <c r="I13" s="67"/>
      <c r="K13" s="69"/>
    </row>
    <row r="14" spans="8:28" ht="13.5" thickBot="1">
      <c r="H14" s="70"/>
      <c r="I14" s="91"/>
      <c r="L14" s="112"/>
      <c r="M14" s="113"/>
      <c r="N14" s="111" t="s">
        <v>758</v>
      </c>
      <c r="O14" s="114"/>
      <c r="P14" s="115">
        <f>12*O12</f>
        <v>4074.7200000000003</v>
      </c>
      <c r="Q14" s="136"/>
      <c r="R14" s="114"/>
      <c r="S14" s="115">
        <f>12*R12</f>
        <v>4437.36</v>
      </c>
      <c r="T14" s="136"/>
      <c r="U14" s="114"/>
      <c r="V14" s="115">
        <f>12*U12</f>
        <v>4594.32</v>
      </c>
      <c r="W14" s="136"/>
      <c r="X14" s="114"/>
      <c r="Y14" s="115">
        <f>12*X12</f>
        <v>4920.377012673083</v>
      </c>
      <c r="Z14" s="136"/>
      <c r="AB14">
        <f>U12*12</f>
        <v>4594.32</v>
      </c>
    </row>
    <row r="15" spans="2:9" ht="12.75">
      <c r="B15" s="73"/>
      <c r="C15" s="67"/>
      <c r="F15" s="74"/>
      <c r="I15" s="67"/>
    </row>
    <row r="16" spans="1:9" ht="12.75">
      <c r="A16" s="118"/>
      <c r="B16" s="66"/>
      <c r="C16" s="67"/>
      <c r="I16" s="67"/>
    </row>
    <row r="17" spans="2:30" ht="12.75">
      <c r="B17" s="73"/>
      <c r="C17" s="67"/>
      <c r="I17" s="67"/>
      <c r="AD17" t="s">
        <v>662</v>
      </c>
    </row>
    <row r="18" spans="2:32" ht="12.75">
      <c r="B18" s="73"/>
      <c r="C18" s="67"/>
      <c r="I18" s="67"/>
      <c r="AD18" s="123" t="s">
        <v>660</v>
      </c>
      <c r="AE18" s="73"/>
      <c r="AF18" s="125">
        <v>0.066</v>
      </c>
    </row>
    <row r="19" spans="1:32" ht="12.75">
      <c r="A19" s="15"/>
      <c r="B19" s="73"/>
      <c r="C19" s="67"/>
      <c r="I19" s="67"/>
      <c r="AD19" s="124" t="s">
        <v>661</v>
      </c>
      <c r="AE19" s="73"/>
      <c r="AF19" s="125">
        <v>0.05</v>
      </c>
    </row>
    <row r="20" spans="1:32" ht="12.75">
      <c r="A20" s="15"/>
      <c r="B20" s="73"/>
      <c r="C20" s="67"/>
      <c r="F20" s="116"/>
      <c r="I20" s="117"/>
      <c r="AD20" s="124" t="s">
        <v>619</v>
      </c>
      <c r="AE20" s="73"/>
      <c r="AF20" s="125">
        <v>0.003</v>
      </c>
    </row>
    <row r="21" spans="1:32" ht="12.75">
      <c r="A21" s="15"/>
      <c r="B21" s="73"/>
      <c r="C21" s="67"/>
      <c r="F21" s="116"/>
      <c r="I21" s="117"/>
      <c r="AD21" s="124" t="s">
        <v>757</v>
      </c>
      <c r="AE21" s="73"/>
      <c r="AF21" s="125">
        <v>0.067</v>
      </c>
    </row>
    <row r="22" spans="1:32" ht="12.75">
      <c r="A22" s="15"/>
      <c r="B22" s="73"/>
      <c r="C22" s="67"/>
      <c r="F22" s="116"/>
      <c r="I22" s="117"/>
      <c r="AD22" s="124" t="s">
        <v>840</v>
      </c>
      <c r="AE22" s="73"/>
      <c r="AF22" s="135">
        <v>0.1990112994350283</v>
      </c>
    </row>
    <row r="23" spans="1:33" ht="12.75">
      <c r="A23" s="15"/>
      <c r="B23" s="73"/>
      <c r="C23" s="67"/>
      <c r="F23" s="116"/>
      <c r="I23" s="117"/>
      <c r="AD23" s="124" t="s">
        <v>873</v>
      </c>
      <c r="AE23" s="73"/>
      <c r="AF23" s="135">
        <v>0.08899752621038982</v>
      </c>
      <c r="AG23" t="s">
        <v>64</v>
      </c>
    </row>
    <row r="24" spans="1:33" ht="12.75">
      <c r="A24" s="15"/>
      <c r="B24" s="73"/>
      <c r="C24" s="67"/>
      <c r="F24" s="116"/>
      <c r="I24" s="117"/>
      <c r="AD24" s="124" t="s">
        <v>63</v>
      </c>
      <c r="AE24" s="73"/>
      <c r="AF24" s="135">
        <v>0.03637577173368942</v>
      </c>
      <c r="AG24" t="s">
        <v>65</v>
      </c>
    </row>
    <row r="25" spans="1:32" ht="12.75">
      <c r="A25" s="15"/>
      <c r="B25" s="75"/>
      <c r="C25" s="67"/>
      <c r="D25" s="68"/>
      <c r="E25" s="69"/>
      <c r="F25" s="116"/>
      <c r="G25" s="68"/>
      <c r="H25" s="69"/>
      <c r="I25" s="116"/>
      <c r="J25" s="68"/>
      <c r="K25" s="69"/>
      <c r="AD25" t="s">
        <v>586</v>
      </c>
      <c r="AE25" s="75"/>
      <c r="AF25" s="134">
        <f>AVERAGE(AF18:AF24)</f>
        <v>0.0729120853398725</v>
      </c>
    </row>
    <row r="26" spans="1:11" ht="12.75">
      <c r="A26" s="14"/>
      <c r="B26" s="75"/>
      <c r="C26" s="67"/>
      <c r="D26" s="68"/>
      <c r="E26" s="69"/>
      <c r="F26" s="68"/>
      <c r="G26" s="68"/>
      <c r="H26" s="69"/>
      <c r="I26" s="67"/>
      <c r="J26" s="68"/>
      <c r="K26" s="69"/>
    </row>
    <row r="27" spans="1:9" ht="12.75">
      <c r="A27" s="14"/>
      <c r="B27" s="73"/>
      <c r="C27" s="67"/>
      <c r="I27" s="67"/>
    </row>
    <row r="28" spans="6:9" ht="12.75">
      <c r="F28" s="116"/>
      <c r="I28" s="117"/>
    </row>
    <row r="29" spans="6:9" ht="12.75">
      <c r="F29" s="116"/>
      <c r="I29" s="117"/>
    </row>
    <row r="30" spans="6:9" ht="12.75">
      <c r="F30" s="116"/>
      <c r="I30" s="117"/>
    </row>
    <row r="31" spans="4:10" ht="12.75">
      <c r="D31" s="68"/>
      <c r="E31" s="69"/>
      <c r="F31" s="68"/>
      <c r="G31" s="68"/>
      <c r="H31" s="69"/>
      <c r="I31" s="116"/>
      <c r="J31" s="68"/>
    </row>
    <row r="32" spans="4:11" ht="12.75">
      <c r="D32" s="68"/>
      <c r="E32" s="69"/>
      <c r="G32" s="68"/>
      <c r="H32" s="69"/>
      <c r="I32" s="116"/>
      <c r="J32" s="68"/>
      <c r="K32" s="69"/>
    </row>
    <row r="33" spans="2:10" ht="12.75">
      <c r="B33" s="66"/>
      <c r="D33" s="68"/>
      <c r="G33" s="68"/>
      <c r="J33" s="68"/>
    </row>
    <row r="34" spans="1:10" ht="12.75">
      <c r="A34" s="14"/>
      <c r="B34" s="66"/>
      <c r="D34" s="68"/>
      <c r="G34" s="68"/>
      <c r="J34" s="68"/>
    </row>
    <row r="35" spans="1:11" ht="12.75">
      <c r="A35" s="15"/>
      <c r="B35" s="66"/>
      <c r="D35" s="68"/>
      <c r="E35" s="69"/>
      <c r="G35" s="68"/>
      <c r="H35" s="69"/>
      <c r="J35" s="68"/>
      <c r="K35" s="69"/>
    </row>
    <row r="36" spans="1:11" ht="12.75">
      <c r="A36" s="15"/>
      <c r="B36" s="66"/>
      <c r="D36" s="68"/>
      <c r="E36" s="69"/>
      <c r="F36" s="68"/>
      <c r="G36" s="68"/>
      <c r="H36" s="69"/>
      <c r="J36" s="68"/>
      <c r="K36" s="69"/>
    </row>
    <row r="37" spans="2:7" ht="12.75">
      <c r="B37" s="66"/>
      <c r="G37" s="30"/>
    </row>
  </sheetData>
  <printOptions gridLines="1"/>
  <pageMargins left="0.25" right="0.25" top="1" bottom="0.55" header="0.5" footer="0.25"/>
  <pageSetup fitToHeight="1" fitToWidth="1" horizontalDpi="300" verticalDpi="300" orientation="landscape" r:id="rId3"/>
  <headerFooter alignWithMargins="0">
    <oddFooter>&amp;L&amp;F
&amp;A&amp;CPage &amp;P of &amp;N&amp;R&amp;D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U78"/>
  <sheetViews>
    <sheetView zoomScale="75" zoomScaleNormal="75" workbookViewId="0" topLeftCell="A2">
      <selection activeCell="P57" sqref="P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6.421875" style="0" hidden="1" customWidth="1"/>
    <col min="6" max="6" width="8.8515625" style="0" hidden="1" customWidth="1"/>
    <col min="7" max="8" width="8.140625" style="0" hidden="1" customWidth="1"/>
    <col min="9" max="12" width="8.140625" style="0" customWidth="1"/>
    <col min="13" max="14" width="8.140625" style="0" bestFit="1" customWidth="1"/>
    <col min="15" max="15" width="8.7109375" style="0" customWidth="1"/>
    <col min="16" max="16" width="9.28125" style="0" bestFit="1" customWidth="1"/>
    <col min="17" max="17" width="10.140625" style="0" customWidth="1"/>
    <col min="18" max="18" width="8.140625" style="0" bestFit="1" customWidth="1"/>
    <col min="19" max="19" width="9.85156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458</v>
      </c>
      <c r="M3" s="57">
        <v>6</v>
      </c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3" t="s">
        <v>115</v>
      </c>
    </row>
    <row r="7" spans="1:20" ht="12.75">
      <c r="A7" s="22" t="s">
        <v>717</v>
      </c>
      <c r="B7" s="4">
        <v>51.112</v>
      </c>
      <c r="C7" s="2">
        <v>3900</v>
      </c>
      <c r="D7" s="2">
        <v>975</v>
      </c>
      <c r="E7" s="2"/>
      <c r="F7" s="2">
        <v>51000</v>
      </c>
      <c r="G7" s="2">
        <v>51000</v>
      </c>
      <c r="H7" s="2">
        <v>52962</v>
      </c>
      <c r="I7" s="2">
        <v>51000</v>
      </c>
      <c r="J7" s="2">
        <v>51000</v>
      </c>
      <c r="K7" s="2">
        <v>51000</v>
      </c>
      <c r="L7" s="2">
        <v>50608</v>
      </c>
      <c r="M7" s="2">
        <v>13731</v>
      </c>
      <c r="N7" s="2">
        <v>13731</v>
      </c>
      <c r="O7" s="2">
        <v>48450</v>
      </c>
      <c r="P7" s="2">
        <v>0</v>
      </c>
      <c r="Q7" s="2">
        <v>0</v>
      </c>
      <c r="R7" s="2"/>
      <c r="S7" s="92">
        <f>(R7-O7)/O7</f>
        <v>-1</v>
      </c>
      <c r="T7" t="s">
        <v>69</v>
      </c>
    </row>
    <row r="8" spans="1:20" ht="12.75">
      <c r="A8" t="s">
        <v>494</v>
      </c>
      <c r="B8" s="4">
        <v>51.21</v>
      </c>
      <c r="C8" s="2"/>
      <c r="D8" s="2"/>
      <c r="E8" s="2"/>
      <c r="F8" s="2">
        <v>2840</v>
      </c>
      <c r="G8" s="2">
        <v>3023</v>
      </c>
      <c r="H8" s="2">
        <v>3161</v>
      </c>
      <c r="I8" s="2">
        <v>3184</v>
      </c>
      <c r="J8" s="2">
        <v>3398</v>
      </c>
      <c r="K8" s="2">
        <v>4011</v>
      </c>
      <c r="L8" s="2">
        <v>4331</v>
      </c>
      <c r="M8" s="2">
        <v>1109</v>
      </c>
      <c r="N8" s="2">
        <v>1109</v>
      </c>
      <c r="O8" s="2">
        <v>4560</v>
      </c>
      <c r="P8" s="31">
        <v>0</v>
      </c>
      <c r="Q8" s="31">
        <v>0</v>
      </c>
      <c r="R8" s="2"/>
      <c r="S8" s="92">
        <f>(R8-O8)/O8</f>
        <v>-1</v>
      </c>
      <c r="T8" t="s">
        <v>825</v>
      </c>
    </row>
    <row r="9" spans="1:19" ht="12.75">
      <c r="A9" t="s">
        <v>139</v>
      </c>
      <c r="B9" s="4">
        <v>51.22</v>
      </c>
      <c r="C9" s="2"/>
      <c r="D9" s="2"/>
      <c r="E9" s="2"/>
      <c r="F9" s="2">
        <v>3902</v>
      </c>
      <c r="G9" s="2">
        <v>3902</v>
      </c>
      <c r="H9" s="2">
        <v>4052</v>
      </c>
      <c r="I9" s="2">
        <v>3902</v>
      </c>
      <c r="J9" s="2">
        <v>3902</v>
      </c>
      <c r="K9" s="2">
        <v>3902</v>
      </c>
      <c r="L9" s="2">
        <v>3872</v>
      </c>
      <c r="M9" s="2">
        <v>1050</v>
      </c>
      <c r="N9" s="2">
        <v>1050</v>
      </c>
      <c r="O9" s="2">
        <v>3706</v>
      </c>
      <c r="P9" s="2"/>
      <c r="Q9" s="2"/>
      <c r="R9" s="2"/>
      <c r="S9" s="92">
        <f>(R9-O9)/O9</f>
        <v>-1</v>
      </c>
    </row>
    <row r="10" spans="1:20" ht="12.75">
      <c r="A10" t="s">
        <v>743</v>
      </c>
      <c r="B10" s="4">
        <v>52.13</v>
      </c>
      <c r="C10" s="5"/>
      <c r="D10" s="5"/>
      <c r="E10" s="5"/>
      <c r="F10" s="2">
        <v>1830</v>
      </c>
      <c r="G10" s="2">
        <v>4271</v>
      </c>
      <c r="H10" s="2">
        <v>2518</v>
      </c>
      <c r="I10" s="2">
        <v>1536</v>
      </c>
      <c r="J10" s="2">
        <v>4493</v>
      </c>
      <c r="K10" s="2"/>
      <c r="L10" s="2"/>
      <c r="M10" s="2"/>
      <c r="N10" s="2"/>
      <c r="O10" s="2">
        <v>0</v>
      </c>
      <c r="P10" s="2"/>
      <c r="Q10" s="2"/>
      <c r="R10" s="2"/>
      <c r="S10" s="92" t="e">
        <f>(R10-O10)/O10</f>
        <v>#DIV/0!</v>
      </c>
      <c r="T10" s="33" t="s">
        <v>376</v>
      </c>
    </row>
    <row r="11" spans="1:20" ht="12.75">
      <c r="A11" t="s">
        <v>142</v>
      </c>
      <c r="B11" s="4">
        <v>52.321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2"/>
      <c r="N11" s="2"/>
      <c r="O11" s="2"/>
      <c r="P11" s="2"/>
      <c r="Q11" s="2"/>
      <c r="R11" s="2"/>
      <c r="S11" s="92"/>
      <c r="T11" s="2"/>
    </row>
    <row r="12" spans="1:19" ht="12.75">
      <c r="A12" t="s">
        <v>265</v>
      </c>
      <c r="B12" s="4">
        <v>53.171</v>
      </c>
      <c r="C12" s="5"/>
      <c r="D12" s="5"/>
      <c r="E12" s="5"/>
      <c r="F12" s="5"/>
      <c r="G12" s="2">
        <v>34</v>
      </c>
      <c r="H12" s="2"/>
      <c r="I12" s="2">
        <v>170</v>
      </c>
      <c r="J12" s="2"/>
      <c r="K12" s="2"/>
      <c r="L12" s="2"/>
      <c r="M12" s="2"/>
      <c r="N12" s="2"/>
      <c r="O12" s="2"/>
      <c r="P12" s="2"/>
      <c r="Q12" s="2"/>
      <c r="R12" s="2"/>
      <c r="S12" s="52"/>
    </row>
    <row r="13" spans="2:19" ht="12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2"/>
    </row>
    <row r="14" spans="1:19" ht="12.75">
      <c r="A14" s="6" t="s">
        <v>116</v>
      </c>
      <c r="B14" s="6"/>
      <c r="C14" s="7">
        <f>SUM(C7:C9)</f>
        <v>3900</v>
      </c>
      <c r="D14" s="8">
        <f>SUM(D7:D9)</f>
        <v>975</v>
      </c>
      <c r="E14" s="8"/>
      <c r="F14" s="8">
        <f>SUM(F7:F13)</f>
        <v>59572</v>
      </c>
      <c r="G14" s="8">
        <f>SUM(G7:G13)</f>
        <v>62230</v>
      </c>
      <c r="H14" s="8">
        <f>SUM(H7:H13)</f>
        <v>62693</v>
      </c>
      <c r="I14" s="8">
        <f>SUM(I7:I13)</f>
        <v>59792</v>
      </c>
      <c r="J14" s="8">
        <v>63215</v>
      </c>
      <c r="K14" s="8">
        <f aca="true" t="shared" si="0" ref="K14:R14">SUM(K7:K12)</f>
        <v>58913</v>
      </c>
      <c r="L14" s="8">
        <v>58810</v>
      </c>
      <c r="M14" s="8">
        <f t="shared" si="0"/>
        <v>15890</v>
      </c>
      <c r="N14" s="8">
        <f t="shared" si="0"/>
        <v>15890</v>
      </c>
      <c r="O14" s="8">
        <f t="shared" si="0"/>
        <v>56716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53">
        <f>(R14-O14)/O14</f>
        <v>-1</v>
      </c>
    </row>
    <row r="15" ht="12.75">
      <c r="S15" s="52"/>
    </row>
    <row r="16" spans="15:19" ht="12.75">
      <c r="O16" s="22" t="s">
        <v>488</v>
      </c>
      <c r="P16" s="22"/>
      <c r="Q16" s="56">
        <f>P14-Q14</f>
        <v>0</v>
      </c>
      <c r="S16" s="52"/>
    </row>
    <row r="17" spans="15:21" ht="12.75">
      <c r="O17" s="22" t="s">
        <v>761</v>
      </c>
      <c r="P17" s="22"/>
      <c r="Q17" s="56">
        <f>O14-Q14</f>
        <v>56716</v>
      </c>
      <c r="S17" s="52"/>
      <c r="U17" t="s">
        <v>683</v>
      </c>
    </row>
    <row r="18" spans="15:19" ht="12.75">
      <c r="O18" s="22" t="s">
        <v>436</v>
      </c>
      <c r="P18" s="22"/>
      <c r="Q18" s="56">
        <f>Q14-R14</f>
        <v>0</v>
      </c>
      <c r="S18" s="52"/>
    </row>
    <row r="19" ht="12.75">
      <c r="S19" s="52"/>
    </row>
    <row r="20" spans="1:19" ht="12.75">
      <c r="A20" s="6" t="s">
        <v>993</v>
      </c>
      <c r="S20" s="52"/>
    </row>
    <row r="21" ht="12.75">
      <c r="S21" s="52"/>
    </row>
    <row r="22" spans="1:19" ht="12.75">
      <c r="A22" t="s">
        <v>31</v>
      </c>
      <c r="S22" s="52"/>
    </row>
    <row r="23" spans="1:19" ht="12.75">
      <c r="A23" t="s">
        <v>994</v>
      </c>
      <c r="S23" s="52"/>
    </row>
    <row r="24" ht="12.75">
      <c r="S24" s="52"/>
    </row>
    <row r="25" spans="1:19" ht="12.75">
      <c r="A25" t="s">
        <v>71</v>
      </c>
      <c r="S25" s="52"/>
    </row>
    <row r="26" spans="1:19" ht="12.75">
      <c r="A26" t="s">
        <v>68</v>
      </c>
      <c r="B26" t="s">
        <v>70</v>
      </c>
      <c r="S26" s="52"/>
    </row>
    <row r="27" spans="2:19" ht="12.75">
      <c r="B27" t="s">
        <v>72</v>
      </c>
      <c r="S27" s="52"/>
    </row>
    <row r="28" ht="12.75">
      <c r="S28" s="52"/>
    </row>
    <row r="29" spans="1:19" ht="12.75">
      <c r="A29" t="s">
        <v>74</v>
      </c>
      <c r="S29" s="52"/>
    </row>
    <row r="30" ht="12.75">
      <c r="S30" s="52"/>
    </row>
    <row r="61" spans="3:18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U78"/>
  <sheetViews>
    <sheetView zoomScale="75" zoomScaleNormal="75" workbookViewId="0" topLeftCell="A1">
      <selection activeCell="R57" sqref="R57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9.7109375" style="0" hidden="1" customWidth="1"/>
    <col min="6" max="8" width="6.421875" style="0" hidden="1" customWidth="1"/>
    <col min="9" max="12" width="6.421875" style="0" customWidth="1"/>
    <col min="13" max="13" width="6.8515625" style="0" bestFit="1" customWidth="1"/>
    <col min="14" max="14" width="7.57421875" style="0" bestFit="1" customWidth="1"/>
    <col min="15" max="15" width="9.421875" style="0" customWidth="1"/>
    <col min="17" max="17" width="10.7109375" style="0" bestFit="1" customWidth="1"/>
    <col min="18" max="18" width="8.00390625" style="0" bestFit="1" customWidth="1"/>
    <col min="19" max="19" width="9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694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459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58" t="s">
        <v>115</v>
      </c>
    </row>
    <row r="7" spans="1:19" ht="12.75">
      <c r="A7" t="s">
        <v>695</v>
      </c>
      <c r="B7" s="4">
        <v>52.1263</v>
      </c>
      <c r="C7" s="2"/>
      <c r="D7" s="2"/>
      <c r="E7" s="2">
        <v>4539</v>
      </c>
      <c r="F7" s="2">
        <v>6051</v>
      </c>
      <c r="G7" s="2">
        <v>6050</v>
      </c>
      <c r="H7" s="2">
        <v>4538</v>
      </c>
      <c r="I7" s="2">
        <v>4538</v>
      </c>
      <c r="J7" s="2">
        <v>6050</v>
      </c>
      <c r="K7" s="2">
        <v>6050</v>
      </c>
      <c r="L7" s="2"/>
      <c r="M7" s="2"/>
      <c r="N7" s="2"/>
      <c r="O7" s="2"/>
      <c r="P7" s="2"/>
      <c r="Q7" s="2">
        <v>0</v>
      </c>
      <c r="R7" s="2">
        <v>0</v>
      </c>
      <c r="S7" s="92" t="e">
        <f>(R7-O7)/O7</f>
        <v>#DIV/0!</v>
      </c>
    </row>
    <row r="8" ht="12.75">
      <c r="S8" s="52"/>
    </row>
    <row r="9" ht="12.75">
      <c r="S9" s="52"/>
    </row>
    <row r="10" spans="1:19" ht="12.75">
      <c r="A10" s="6" t="s">
        <v>116</v>
      </c>
      <c r="B10" s="6"/>
      <c r="C10" s="7">
        <f aca="true" t="shared" si="0" ref="C10:I10">SUM(C7:C9)</f>
        <v>0</v>
      </c>
      <c r="D10" s="8">
        <f t="shared" si="0"/>
        <v>0</v>
      </c>
      <c r="E10" s="8">
        <f t="shared" si="0"/>
        <v>4539</v>
      </c>
      <c r="F10" s="8">
        <f t="shared" si="0"/>
        <v>6051</v>
      </c>
      <c r="G10" s="8">
        <f t="shared" si="0"/>
        <v>6050</v>
      </c>
      <c r="H10" s="8">
        <f t="shared" si="0"/>
        <v>4538</v>
      </c>
      <c r="I10" s="8">
        <f t="shared" si="0"/>
        <v>4538</v>
      </c>
      <c r="J10" s="8">
        <v>6050</v>
      </c>
      <c r="K10" s="8">
        <f aca="true" t="shared" si="1" ref="K10:R10">SUM(K7:K9)</f>
        <v>6050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96" t="e">
        <f>(R10-O10)/O10</f>
        <v>#DIV/0!</v>
      </c>
    </row>
    <row r="11" ht="12.75">
      <c r="S11" s="52"/>
    </row>
    <row r="12" spans="1:19" ht="12.75">
      <c r="A12" t="s">
        <v>415</v>
      </c>
      <c r="O12" s="22" t="s">
        <v>488</v>
      </c>
      <c r="P12" s="22"/>
      <c r="Q12" s="56">
        <f>P10-Q10</f>
        <v>0</v>
      </c>
      <c r="S12" s="52"/>
    </row>
    <row r="13" spans="15:19" ht="12.75">
      <c r="O13" s="22" t="s">
        <v>761</v>
      </c>
      <c r="P13" s="22"/>
      <c r="Q13" s="56">
        <f>O10-Q10</f>
        <v>0</v>
      </c>
      <c r="S13" s="52"/>
    </row>
    <row r="14" spans="15:19" ht="12.75">
      <c r="O14" s="22" t="s">
        <v>436</v>
      </c>
      <c r="P14" s="22"/>
      <c r="Q14" s="56">
        <f>Q10-R10</f>
        <v>0</v>
      </c>
      <c r="S14" s="52"/>
    </row>
    <row r="15" ht="12.75">
      <c r="S15" s="52"/>
    </row>
    <row r="16" spans="1:19" ht="12.75">
      <c r="A16" s="6" t="s">
        <v>20</v>
      </c>
      <c r="S16" s="52"/>
    </row>
    <row r="17" ht="12.75">
      <c r="S17" s="52"/>
    </row>
    <row r="18" ht="12.75">
      <c r="S18" s="52"/>
    </row>
    <row r="19" ht="12.75">
      <c r="S19" s="52"/>
    </row>
    <row r="20" spans="19:21" ht="12.75">
      <c r="S20" s="52"/>
      <c r="U20" t="s">
        <v>683</v>
      </c>
    </row>
    <row r="21" ht="12.75">
      <c r="S21" s="52"/>
    </row>
    <row r="22" ht="12.75">
      <c r="S22" s="52"/>
    </row>
    <row r="23" ht="12.75">
      <c r="S23" s="52"/>
    </row>
    <row r="24" ht="12.75">
      <c r="S24" s="52"/>
    </row>
    <row r="25" ht="12.75">
      <c r="S25" s="52"/>
    </row>
    <row r="26" ht="12.75">
      <c r="S26" s="52"/>
    </row>
    <row r="27" ht="12.75">
      <c r="S27" s="52"/>
    </row>
    <row r="28" ht="12.75">
      <c r="S28" s="52"/>
    </row>
    <row r="29" ht="12.75">
      <c r="S29" s="52"/>
    </row>
    <row r="30" ht="12.75">
      <c r="S30" s="52"/>
    </row>
    <row r="45" spans="3:18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3:18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3:18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3:18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95" r:id="rId1"/>
  <headerFooter alignWithMargins="0">
    <oddFooter>&amp;L&amp;F
&amp;A&amp;CPage &amp;P of &amp;N&amp;R&amp;D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U72"/>
  <sheetViews>
    <sheetView zoomScale="75" zoomScaleNormal="75" workbookViewId="0" topLeftCell="A1">
      <selection activeCell="Q46" sqref="Q46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4" width="8.7109375" style="0" hidden="1" customWidth="1"/>
    <col min="5" max="5" width="8.00390625" style="0" hidden="1" customWidth="1"/>
    <col min="6" max="6" width="8.7109375" style="0" hidden="1" customWidth="1"/>
    <col min="7" max="9" width="9.421875" style="0" hidden="1" customWidth="1"/>
    <col min="10" max="12" width="9.421875" style="0" customWidth="1"/>
    <col min="13" max="13" width="10.00390625" style="0" customWidth="1"/>
    <col min="15" max="15" width="11.7109375" style="0" customWidth="1"/>
    <col min="17" max="17" width="10.7109375" style="0" bestFit="1" customWidth="1"/>
    <col min="18" max="18" width="8.00390625" style="0" bestFit="1" customWidth="1"/>
    <col min="19" max="19" width="9.8515625" style="0" bestFit="1" customWidth="1"/>
    <col min="20" max="20" width="11.7109375" style="0" customWidth="1"/>
  </cols>
  <sheetData>
    <row r="1" spans="1:2" ht="12.75">
      <c r="A1" t="s">
        <v>106</v>
      </c>
      <c r="B1">
        <v>2007</v>
      </c>
    </row>
    <row r="2" ht="12.75">
      <c r="A2" t="s">
        <v>107</v>
      </c>
    </row>
    <row r="3" spans="1:19" ht="12.75">
      <c r="A3" s="6" t="s">
        <v>471</v>
      </c>
      <c r="M3" s="57">
        <v>6</v>
      </c>
      <c r="N3" s="9"/>
      <c r="S3" s="1" t="s">
        <v>438</v>
      </c>
    </row>
    <row r="4" spans="3:19" ht="12.75">
      <c r="C4" s="1"/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 t="s">
        <v>457</v>
      </c>
      <c r="O4" s="1" t="s">
        <v>110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472</v>
      </c>
      <c r="O5" s="1" t="s">
        <v>109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62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162" t="s">
        <v>53</v>
      </c>
      <c r="T6" s="63" t="s">
        <v>115</v>
      </c>
    </row>
    <row r="7" spans="1:20" ht="12.75">
      <c r="A7" t="s">
        <v>686</v>
      </c>
      <c r="B7" s="4">
        <v>51.11</v>
      </c>
      <c r="C7" s="2">
        <v>57201</v>
      </c>
      <c r="D7" s="2">
        <v>81391</v>
      </c>
      <c r="E7" s="2">
        <v>61702</v>
      </c>
      <c r="F7" s="2">
        <v>100399</v>
      </c>
      <c r="G7" s="2">
        <v>102472</v>
      </c>
      <c r="H7" s="2">
        <v>22268</v>
      </c>
      <c r="I7" s="2">
        <v>18716</v>
      </c>
      <c r="J7" s="2">
        <v>23016</v>
      </c>
      <c r="K7" s="2">
        <v>178</v>
      </c>
      <c r="L7" s="2"/>
      <c r="M7" s="2"/>
      <c r="N7" s="2">
        <f>+M7/$M$3*12</f>
        <v>0</v>
      </c>
      <c r="O7" s="2"/>
      <c r="P7" s="2"/>
      <c r="Q7" s="2"/>
      <c r="R7" s="2"/>
      <c r="S7" s="92" t="e">
        <f>(R7-O7)/O7</f>
        <v>#DIV/0!</v>
      </c>
      <c r="T7" t="s">
        <v>376</v>
      </c>
    </row>
    <row r="8" spans="1:19" ht="12.75">
      <c r="A8" t="s">
        <v>152</v>
      </c>
      <c r="B8" s="4">
        <v>51.13</v>
      </c>
      <c r="C8" s="2">
        <v>22</v>
      </c>
      <c r="D8" s="2"/>
      <c r="H8">
        <v>224</v>
      </c>
      <c r="I8">
        <v>11</v>
      </c>
      <c r="J8">
        <v>16</v>
      </c>
      <c r="M8" s="2"/>
      <c r="N8" s="2">
        <f>+M8/$M$3*12</f>
        <v>0</v>
      </c>
      <c r="O8" s="2"/>
      <c r="P8" s="2"/>
      <c r="Q8" s="2"/>
      <c r="R8" s="2"/>
      <c r="S8" s="92"/>
    </row>
    <row r="9" spans="1:19" ht="12.75">
      <c r="A9" t="s">
        <v>159</v>
      </c>
      <c r="B9" s="4">
        <v>51.21</v>
      </c>
      <c r="C9" s="2">
        <v>2417</v>
      </c>
      <c r="D9" s="2">
        <v>8014</v>
      </c>
      <c r="E9" s="2">
        <v>6535</v>
      </c>
      <c r="F9" s="2">
        <v>8602</v>
      </c>
      <c r="G9" s="2">
        <v>8701</v>
      </c>
      <c r="H9" s="2">
        <v>2350</v>
      </c>
      <c r="I9" s="2">
        <v>1561</v>
      </c>
      <c r="J9" s="2">
        <v>3398</v>
      </c>
      <c r="K9" s="2"/>
      <c r="L9" s="2"/>
      <c r="M9" s="2"/>
      <c r="N9" s="2">
        <f>+M9/$M$3*12</f>
        <v>0</v>
      </c>
      <c r="O9" s="2"/>
      <c r="P9" s="31"/>
      <c r="Q9" s="31"/>
      <c r="R9" s="36"/>
      <c r="S9" s="92" t="e">
        <f>(R9-O9)/O9</f>
        <v>#DIV/0!</v>
      </c>
    </row>
    <row r="10" spans="1:19" ht="12.75">
      <c r="A10" t="s">
        <v>139</v>
      </c>
      <c r="B10" s="4">
        <v>51.22</v>
      </c>
      <c r="C10" s="2">
        <v>4315</v>
      </c>
      <c r="D10" s="2">
        <v>6056</v>
      </c>
      <c r="E10" s="2">
        <v>4684</v>
      </c>
      <c r="F10" s="2">
        <v>7665</v>
      </c>
      <c r="G10" s="2">
        <v>7545</v>
      </c>
      <c r="H10" s="2">
        <v>1660</v>
      </c>
      <c r="I10" s="2">
        <v>1425</v>
      </c>
      <c r="J10" s="2">
        <v>1677</v>
      </c>
      <c r="K10" s="2">
        <v>10</v>
      </c>
      <c r="L10" s="2"/>
      <c r="M10" s="2"/>
      <c r="N10" s="2">
        <f>+M10/$M$3*12</f>
        <v>0</v>
      </c>
      <c r="O10" s="2"/>
      <c r="P10" s="2"/>
      <c r="Q10" s="2"/>
      <c r="R10" s="2"/>
      <c r="S10" s="92" t="e">
        <f>(R10-O10)/O10</f>
        <v>#DIV/0!</v>
      </c>
    </row>
    <row r="11" spans="1:19" ht="12.75">
      <c r="A11" t="s">
        <v>153</v>
      </c>
      <c r="B11" s="4">
        <v>51.24</v>
      </c>
      <c r="C11" s="2">
        <v>136</v>
      </c>
      <c r="D11" s="2">
        <v>301</v>
      </c>
      <c r="E11" s="2">
        <v>427</v>
      </c>
      <c r="F11" s="2">
        <v>359</v>
      </c>
      <c r="G11" s="2">
        <v>427</v>
      </c>
      <c r="H11" s="2"/>
      <c r="I11" s="2"/>
      <c r="J11" s="2">
        <v>77</v>
      </c>
      <c r="K11" s="2"/>
      <c r="L11" s="2"/>
      <c r="M11" s="2"/>
      <c r="N11" s="2">
        <f>+M11/$M$3*12</f>
        <v>0</v>
      </c>
      <c r="O11" s="2"/>
      <c r="P11" s="2"/>
      <c r="Q11" s="2"/>
      <c r="R11" s="2"/>
      <c r="S11" s="92"/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92"/>
    </row>
    <row r="13" spans="1:19" ht="12.75">
      <c r="A13" t="s">
        <v>253</v>
      </c>
      <c r="B13" s="4">
        <v>52.1305</v>
      </c>
      <c r="C13" s="2"/>
      <c r="D13" s="2"/>
      <c r="E13" s="2">
        <v>333</v>
      </c>
      <c r="F13" s="2">
        <v>392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2"/>
    </row>
    <row r="14" spans="1:19" ht="12.75">
      <c r="A14" t="s">
        <v>185</v>
      </c>
      <c r="B14" s="4">
        <v>52.2206</v>
      </c>
      <c r="C14" s="2">
        <v>204</v>
      </c>
      <c r="D14" s="2">
        <v>536</v>
      </c>
      <c r="E14" s="2">
        <v>40</v>
      </c>
      <c r="F14" s="2">
        <v>25</v>
      </c>
      <c r="G14" s="2"/>
      <c r="H14" s="2"/>
      <c r="I14" s="2">
        <v>35</v>
      </c>
      <c r="J14" s="2"/>
      <c r="K14" s="2"/>
      <c r="L14" s="2"/>
      <c r="M14" s="2"/>
      <c r="N14" s="2"/>
      <c r="O14" s="2"/>
      <c r="P14" s="2"/>
      <c r="Q14" s="2"/>
      <c r="R14" s="2"/>
      <c r="S14" s="92"/>
    </row>
    <row r="15" spans="1:19" ht="12.75">
      <c r="A15" t="s">
        <v>141</v>
      </c>
      <c r="B15" s="4">
        <v>52.32</v>
      </c>
      <c r="C15" s="2">
        <v>1028</v>
      </c>
      <c r="D15" s="2">
        <v>687</v>
      </c>
      <c r="E15" s="2">
        <v>753</v>
      </c>
      <c r="F15" s="2">
        <v>1075</v>
      </c>
      <c r="G15" s="2">
        <v>1478</v>
      </c>
      <c r="H15" s="2">
        <v>1069</v>
      </c>
      <c r="I15" s="2">
        <v>638</v>
      </c>
      <c r="J15" s="2">
        <v>646</v>
      </c>
      <c r="K15" s="2"/>
      <c r="L15" s="2"/>
      <c r="M15" s="2"/>
      <c r="N15" s="2">
        <f>+M15/$M$3*12</f>
        <v>0</v>
      </c>
      <c r="O15" s="2"/>
      <c r="P15" s="2"/>
      <c r="Q15" s="2"/>
      <c r="R15" s="2"/>
      <c r="S15" s="92" t="e">
        <f>(R15-O15)/O15</f>
        <v>#DIV/0!</v>
      </c>
    </row>
    <row r="16" spans="1:19" ht="12.75">
      <c r="A16" t="s">
        <v>142</v>
      </c>
      <c r="B16" s="4">
        <v>52.321</v>
      </c>
      <c r="C16" s="2">
        <v>126</v>
      </c>
      <c r="D16" s="2">
        <v>109</v>
      </c>
      <c r="E16" s="2">
        <v>205</v>
      </c>
      <c r="F16" s="2">
        <v>243</v>
      </c>
      <c r="G16" s="2">
        <v>274</v>
      </c>
      <c r="H16" s="2">
        <v>210</v>
      </c>
      <c r="I16" s="2">
        <v>203</v>
      </c>
      <c r="J16" s="2"/>
      <c r="K16" s="2"/>
      <c r="L16" s="2"/>
      <c r="M16" s="2"/>
      <c r="N16" s="2">
        <f>+M16/$M$3*12</f>
        <v>0</v>
      </c>
      <c r="O16" s="2"/>
      <c r="P16" s="2"/>
      <c r="Q16" s="2"/>
      <c r="R16" s="2"/>
      <c r="S16" s="92" t="e">
        <f>(R16-O16)/O16</f>
        <v>#DIV/0!</v>
      </c>
    </row>
    <row r="17" spans="1:19" ht="12.75">
      <c r="A17" t="s">
        <v>154</v>
      </c>
      <c r="B17" s="4">
        <v>52.35</v>
      </c>
      <c r="C17" s="2">
        <v>777</v>
      </c>
      <c r="D17" s="2">
        <v>1169</v>
      </c>
      <c r="E17" s="2"/>
      <c r="F17" s="2">
        <v>540</v>
      </c>
      <c r="G17" s="2">
        <v>21</v>
      </c>
      <c r="H17" s="2">
        <v>41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92"/>
    </row>
    <row r="18" spans="1:19" ht="12.75">
      <c r="A18" t="s">
        <v>144</v>
      </c>
      <c r="B18" s="4">
        <v>52.3602</v>
      </c>
      <c r="C18" s="2">
        <v>196</v>
      </c>
      <c r="D18" s="2">
        <v>335</v>
      </c>
      <c r="E18" s="2"/>
      <c r="F18" s="2">
        <v>305</v>
      </c>
      <c r="G18" s="2">
        <v>420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92"/>
    </row>
    <row r="19" spans="1:19" ht="12.75">
      <c r="A19" t="s">
        <v>155</v>
      </c>
      <c r="B19" s="4">
        <v>52.37</v>
      </c>
      <c r="C19" s="2"/>
      <c r="D19" s="2"/>
      <c r="E19" s="2"/>
      <c r="F19" s="2">
        <v>1230</v>
      </c>
      <c r="G19" s="2">
        <v>796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2"/>
    </row>
    <row r="20" spans="2:21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92"/>
      <c r="U20" t="s">
        <v>683</v>
      </c>
    </row>
    <row r="21" spans="1:19" ht="12.75">
      <c r="A21" t="s">
        <v>255</v>
      </c>
      <c r="B21" s="4">
        <v>53.17</v>
      </c>
      <c r="C21" s="2"/>
      <c r="D21" s="2"/>
      <c r="E21" s="2"/>
      <c r="F21" s="2">
        <v>50</v>
      </c>
      <c r="G21" s="2"/>
      <c r="H21" s="2"/>
      <c r="I21" s="2"/>
      <c r="J21" s="2"/>
      <c r="K21" s="2"/>
      <c r="L21" s="2"/>
      <c r="N21" s="2"/>
      <c r="O21" s="2"/>
      <c r="P21" s="2"/>
      <c r="Q21" s="2"/>
      <c r="R21" s="2"/>
      <c r="S21" s="92"/>
    </row>
    <row r="22" spans="1:19" ht="12.75">
      <c r="A22" t="s">
        <v>149</v>
      </c>
      <c r="B22" s="4">
        <v>53.171</v>
      </c>
      <c r="C22" s="2">
        <v>1234</v>
      </c>
      <c r="D22" s="2">
        <v>2877</v>
      </c>
      <c r="E22" s="2">
        <v>2085</v>
      </c>
      <c r="F22" s="2">
        <v>851</v>
      </c>
      <c r="G22" s="2">
        <v>865</v>
      </c>
      <c r="H22" s="2">
        <v>284</v>
      </c>
      <c r="I22" s="2">
        <v>719</v>
      </c>
      <c r="J22" s="2">
        <v>166</v>
      </c>
      <c r="K22" s="2"/>
      <c r="L22" s="2"/>
      <c r="M22" s="2"/>
      <c r="N22" s="2">
        <f>+M22/$M$3*12</f>
        <v>0</v>
      </c>
      <c r="O22" s="2"/>
      <c r="P22" s="2"/>
      <c r="Q22" s="2"/>
      <c r="R22" s="2"/>
      <c r="S22" s="92" t="e">
        <f>(R22-O22)/O22</f>
        <v>#DIV/0!</v>
      </c>
    </row>
    <row r="23" spans="1:19" ht="12.75">
      <c r="A23" t="s">
        <v>240</v>
      </c>
      <c r="B23" s="4">
        <v>53.174</v>
      </c>
      <c r="C23" s="2">
        <v>120</v>
      </c>
      <c r="D23" s="2">
        <v>323</v>
      </c>
      <c r="E23" s="2"/>
      <c r="F23" s="2">
        <v>484</v>
      </c>
      <c r="G23" s="2">
        <v>651</v>
      </c>
      <c r="H23" s="2"/>
      <c r="I23" s="2"/>
      <c r="J23" s="2"/>
      <c r="K23" s="2"/>
      <c r="L23" s="2"/>
      <c r="N23" s="2"/>
      <c r="O23" s="2"/>
      <c r="P23" s="2"/>
      <c r="Q23" s="2"/>
      <c r="R23" s="2"/>
      <c r="S23" s="92"/>
    </row>
    <row r="24" spans="1:20" ht="12.75">
      <c r="A24" t="s">
        <v>188</v>
      </c>
      <c r="B24" s="4">
        <v>53.175</v>
      </c>
      <c r="C24" s="2">
        <v>530</v>
      </c>
      <c r="D24" s="2">
        <v>518</v>
      </c>
      <c r="E24" s="2"/>
      <c r="F24" s="2">
        <v>931</v>
      </c>
      <c r="G24" s="2">
        <v>597</v>
      </c>
      <c r="H24" s="2">
        <v>46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92"/>
      <c r="T24" s="10"/>
    </row>
    <row r="25" spans="1:19" ht="12.75">
      <c r="A25" t="s">
        <v>177</v>
      </c>
      <c r="B25" s="4">
        <v>53.176</v>
      </c>
      <c r="C25" s="2">
        <v>33</v>
      </c>
      <c r="D25" s="2">
        <v>82</v>
      </c>
      <c r="E25" s="2"/>
      <c r="F25" s="2">
        <v>77</v>
      </c>
      <c r="G25" s="2">
        <v>75</v>
      </c>
      <c r="H25" s="2">
        <v>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92"/>
    </row>
    <row r="26" spans="1:19" ht="12.75">
      <c r="A26" t="s">
        <v>178</v>
      </c>
      <c r="B26" s="4">
        <v>53.177</v>
      </c>
      <c r="C26" s="2"/>
      <c r="D26" s="2">
        <v>506</v>
      </c>
      <c r="E26" s="2"/>
      <c r="F26" s="2">
        <v>607</v>
      </c>
      <c r="G26" s="2">
        <v>372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2"/>
    </row>
    <row r="27" spans="1:19" ht="12.75">
      <c r="A27" t="s">
        <v>191</v>
      </c>
      <c r="B27" s="4">
        <v>53.1778</v>
      </c>
      <c r="C27" s="2"/>
      <c r="D27" s="2"/>
      <c r="E27" s="2"/>
      <c r="F27" s="2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2"/>
    </row>
    <row r="28" spans="1:19" ht="12.75">
      <c r="A28" t="s">
        <v>179</v>
      </c>
      <c r="B28" s="4">
        <v>53.179</v>
      </c>
      <c r="C28" s="2">
        <v>542</v>
      </c>
      <c r="D28" s="2">
        <v>2255</v>
      </c>
      <c r="E28" s="2">
        <v>1565</v>
      </c>
      <c r="F28" s="2">
        <v>1958</v>
      </c>
      <c r="G28" s="2">
        <v>2137</v>
      </c>
      <c r="H28" s="2">
        <v>51</v>
      </c>
      <c r="I28" s="2"/>
      <c r="J28" s="2">
        <v>196</v>
      </c>
      <c r="K28" s="2"/>
      <c r="L28" s="2"/>
      <c r="M28" s="2"/>
      <c r="N28" s="2">
        <f>+M28/$M$3*12</f>
        <v>0</v>
      </c>
      <c r="O28" s="2"/>
      <c r="P28" s="2"/>
      <c r="Q28" s="2"/>
      <c r="R28" s="2"/>
      <c r="S28" s="92"/>
    </row>
    <row r="29" spans="2:19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2"/>
    </row>
    <row r="30" spans="1:19" ht="12.75">
      <c r="A30" t="s">
        <v>254</v>
      </c>
      <c r="B30" s="4">
        <v>54.12</v>
      </c>
      <c r="C30" s="2"/>
      <c r="D30" s="2"/>
      <c r="E30" s="2">
        <v>5000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2"/>
    </row>
    <row r="31" spans="1:19" ht="12.75">
      <c r="A31" t="s">
        <v>384</v>
      </c>
      <c r="B31" s="4"/>
      <c r="C31" s="2"/>
      <c r="D31" s="2"/>
      <c r="E31" s="2">
        <v>834</v>
      </c>
      <c r="F31" s="2">
        <v>1996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2"/>
    </row>
    <row r="32" spans="1:19" ht="12.75">
      <c r="A32" t="s">
        <v>256</v>
      </c>
      <c r="B32" s="4">
        <v>54.26</v>
      </c>
      <c r="C32" s="5"/>
      <c r="D32" s="2"/>
      <c r="E32" s="2">
        <v>1105</v>
      </c>
      <c r="F32" s="5"/>
      <c r="G32" s="5"/>
      <c r="H32" s="5"/>
      <c r="I32" s="5"/>
      <c r="J32" s="5"/>
      <c r="K32" s="5"/>
      <c r="L32" s="5"/>
      <c r="M32" s="5"/>
      <c r="N32" s="2"/>
      <c r="O32" s="2"/>
      <c r="P32" s="5"/>
      <c r="Q32" s="2"/>
      <c r="R32" s="2"/>
      <c r="S32" s="92"/>
    </row>
    <row r="33" spans="2:19" ht="12.75">
      <c r="B33" s="4"/>
      <c r="C33" s="5"/>
      <c r="D33" s="2"/>
      <c r="E33" s="2"/>
      <c r="F33" s="5"/>
      <c r="G33" s="5"/>
      <c r="H33" s="5"/>
      <c r="I33" s="5"/>
      <c r="J33" s="5"/>
      <c r="K33" s="5"/>
      <c r="L33" s="5"/>
      <c r="M33" s="5"/>
      <c r="N33" s="2"/>
      <c r="O33" s="2"/>
      <c r="P33" s="5"/>
      <c r="Q33" s="2"/>
      <c r="R33" s="2"/>
      <c r="S33" s="92"/>
    </row>
    <row r="34" spans="1:19" ht="12.75">
      <c r="A34" t="s">
        <v>325</v>
      </c>
      <c r="B34" s="4" t="s">
        <v>117</v>
      </c>
      <c r="C34" s="5">
        <v>3397</v>
      </c>
      <c r="D34" s="2">
        <v>1598</v>
      </c>
      <c r="E34" s="2"/>
      <c r="F34" s="5"/>
      <c r="G34" s="5"/>
      <c r="H34" s="5"/>
      <c r="I34" s="5"/>
      <c r="J34" s="5"/>
      <c r="K34" s="5"/>
      <c r="L34" s="5"/>
      <c r="M34" s="5"/>
      <c r="N34" s="2"/>
      <c r="O34" s="5"/>
      <c r="P34" s="5"/>
      <c r="Q34" s="2"/>
      <c r="R34" s="2"/>
      <c r="S34" s="52"/>
    </row>
    <row r="35" spans="1:19" ht="12.75">
      <c r="A35" t="s">
        <v>328</v>
      </c>
      <c r="B35" s="4" t="s">
        <v>117</v>
      </c>
      <c r="C35" s="5"/>
      <c r="D35" s="2">
        <v>6</v>
      </c>
      <c r="E35" s="2"/>
      <c r="F35" s="5"/>
      <c r="G35" s="5"/>
      <c r="H35" s="5"/>
      <c r="I35" s="5"/>
      <c r="J35" s="5"/>
      <c r="K35" s="5"/>
      <c r="L35" s="5"/>
      <c r="M35" s="5"/>
      <c r="N35" s="2"/>
      <c r="O35" s="5"/>
      <c r="P35" s="5"/>
      <c r="Q35" s="2"/>
      <c r="R35" s="2"/>
      <c r="S35" s="52"/>
    </row>
    <row r="36" spans="2:19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/>
      <c r="O36" s="5"/>
      <c r="P36" s="5"/>
      <c r="Q36" s="5"/>
      <c r="R36" s="5"/>
      <c r="S36" s="52"/>
    </row>
    <row r="37" spans="1:19" ht="12.75">
      <c r="A37" s="6" t="s">
        <v>116</v>
      </c>
      <c r="B37" s="6"/>
      <c r="C37" s="7">
        <f>SUM(C7:C36)</f>
        <v>72278</v>
      </c>
      <c r="D37" s="8">
        <f>SUM(D7:D36)</f>
        <v>106763</v>
      </c>
      <c r="E37" s="8">
        <f>SUM(E7:E36)</f>
        <v>85268</v>
      </c>
      <c r="F37" s="8">
        <f aca="true" t="shared" si="0" ref="F37:R37">SUM(F7:F36)</f>
        <v>127835</v>
      </c>
      <c r="G37" s="8">
        <f t="shared" si="0"/>
        <v>126831</v>
      </c>
      <c r="H37" s="8">
        <f t="shared" si="0"/>
        <v>28212</v>
      </c>
      <c r="I37" s="8">
        <f t="shared" si="0"/>
        <v>23308</v>
      </c>
      <c r="J37" s="8">
        <v>29170</v>
      </c>
      <c r="K37" s="8">
        <f>SUM(K7:K36)</f>
        <v>188</v>
      </c>
      <c r="L37" s="8">
        <f>SUM(L7:L36)</f>
        <v>0</v>
      </c>
      <c r="M37" s="8">
        <f>SUM(M7:M36)</f>
        <v>0</v>
      </c>
      <c r="N37" s="8">
        <f t="shared" si="0"/>
        <v>0</v>
      </c>
      <c r="O37" s="8">
        <f>SUM(O7:O36)</f>
        <v>0</v>
      </c>
      <c r="P37" s="8">
        <f t="shared" si="0"/>
        <v>0</v>
      </c>
      <c r="Q37" s="8">
        <f t="shared" si="0"/>
        <v>0</v>
      </c>
      <c r="R37" s="8">
        <f t="shared" si="0"/>
        <v>0</v>
      </c>
      <c r="S37" s="53" t="e">
        <f>(R37-O37)/O37</f>
        <v>#DIV/0!</v>
      </c>
    </row>
    <row r="38" ht="12.75">
      <c r="S38" s="52"/>
    </row>
    <row r="39" spans="1:19" ht="12.75">
      <c r="A39" t="s">
        <v>340</v>
      </c>
      <c r="B39">
        <v>1</v>
      </c>
      <c r="O39" s="22" t="s">
        <v>488</v>
      </c>
      <c r="P39" s="22"/>
      <c r="Q39" s="56">
        <f>P37-Q37</f>
        <v>0</v>
      </c>
      <c r="S39" s="52"/>
    </row>
    <row r="40" spans="15:19" ht="12.75">
      <c r="O40" s="22" t="s">
        <v>761</v>
      </c>
      <c r="P40" s="22"/>
      <c r="Q40" s="56">
        <f>O37-Q37</f>
        <v>0</v>
      </c>
      <c r="S40" s="52"/>
    </row>
    <row r="41" spans="1:19" ht="12.75">
      <c r="A41" s="6"/>
      <c r="O41" s="22" t="s">
        <v>436</v>
      </c>
      <c r="P41" s="22"/>
      <c r="Q41" s="56">
        <f>Q37-R37</f>
        <v>0</v>
      </c>
      <c r="S41" s="52"/>
    </row>
    <row r="42" spans="1:19" ht="12.75">
      <c r="A42" s="6"/>
      <c r="S42" s="52"/>
    </row>
    <row r="43" ht="12.75">
      <c r="S43" s="52"/>
    </row>
    <row r="44" spans="1:19" ht="12.75">
      <c r="A44" s="2" t="s">
        <v>829</v>
      </c>
      <c r="S44" s="52"/>
    </row>
    <row r="45" ht="12.75">
      <c r="A45" s="11"/>
    </row>
    <row r="47" ht="12.75">
      <c r="F47" s="2"/>
    </row>
    <row r="54" ht="12.75">
      <c r="S54" s="2"/>
    </row>
    <row r="55" ht="12.75">
      <c r="S55" s="2"/>
    </row>
    <row r="56" ht="12.75">
      <c r="S56" s="2"/>
    </row>
    <row r="57" ht="12.75">
      <c r="S57" s="2"/>
    </row>
    <row r="58" ht="12.75">
      <c r="S58" s="2"/>
    </row>
    <row r="59" ht="12.75">
      <c r="S59" s="2"/>
    </row>
    <row r="67" spans="3:18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68"/>
  <sheetViews>
    <sheetView zoomScale="75" zoomScaleNormal="75" workbookViewId="0" topLeftCell="A1">
      <selection activeCell="R13" sqref="R13"/>
    </sheetView>
  </sheetViews>
  <sheetFormatPr defaultColWidth="9.140625" defaultRowHeight="12.75"/>
  <cols>
    <col min="1" max="1" width="34.00390625" style="22" customWidth="1"/>
    <col min="2" max="2" width="7.421875" style="22" bestFit="1" customWidth="1"/>
    <col min="3" max="3" width="11.57421875" style="22" hidden="1" customWidth="1"/>
    <col min="4" max="4" width="8.7109375" style="22" hidden="1" customWidth="1"/>
    <col min="5" max="9" width="9.140625" style="22" hidden="1" customWidth="1"/>
    <col min="10" max="12" width="9.140625" style="22" customWidth="1"/>
    <col min="13" max="14" width="9.140625" style="22" bestFit="1" customWidth="1"/>
    <col min="15" max="15" width="11.00390625" style="22" customWidth="1"/>
    <col min="16" max="16" width="10.28125" style="22" customWidth="1"/>
    <col min="17" max="17" width="10.28125" style="22" bestFit="1" customWidth="1"/>
    <col min="18" max="19" width="10.140625" style="22" bestFit="1" customWidth="1"/>
    <col min="20" max="20" width="11.7109375" style="22" customWidth="1"/>
    <col min="21" max="16384" width="9.140625" style="22" customWidth="1"/>
  </cols>
  <sheetData>
    <row r="1" ht="12.75">
      <c r="A1" s="22" t="s">
        <v>106</v>
      </c>
    </row>
    <row r="2" ht="12.75">
      <c r="A2" s="22" t="s">
        <v>107</v>
      </c>
    </row>
    <row r="3" spans="1:19" ht="12.75">
      <c r="A3" s="46" t="s">
        <v>420</v>
      </c>
      <c r="F3" s="26"/>
      <c r="G3" s="26"/>
      <c r="H3" s="26"/>
      <c r="I3" s="26"/>
      <c r="J3" s="26"/>
      <c r="K3" s="26"/>
      <c r="L3" s="26"/>
      <c r="M3" s="51">
        <v>10</v>
      </c>
      <c r="S3" s="26" t="s">
        <v>354</v>
      </c>
    </row>
    <row r="4" spans="3:19" ht="12.75">
      <c r="C4" s="26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434</v>
      </c>
      <c r="O4" s="26"/>
      <c r="P4" s="26" t="s">
        <v>429</v>
      </c>
      <c r="Q4" s="26" t="s">
        <v>431</v>
      </c>
      <c r="R4" s="26" t="s">
        <v>432</v>
      </c>
      <c r="S4" s="26" t="s">
        <v>426</v>
      </c>
    </row>
    <row r="5" spans="3:19" ht="12.75">
      <c r="C5" s="26" t="s">
        <v>109</v>
      </c>
      <c r="D5" s="26" t="s">
        <v>425</v>
      </c>
      <c r="E5" s="26" t="s">
        <v>425</v>
      </c>
      <c r="F5" s="26" t="s">
        <v>425</v>
      </c>
      <c r="G5" s="26" t="s">
        <v>425</v>
      </c>
      <c r="H5" s="26" t="s">
        <v>425</v>
      </c>
      <c r="I5" s="26" t="s">
        <v>425</v>
      </c>
      <c r="J5" s="26" t="s">
        <v>425</v>
      </c>
      <c r="K5" s="26" t="s">
        <v>425</v>
      </c>
      <c r="L5" s="26" t="s">
        <v>425</v>
      </c>
      <c r="M5" s="26" t="s">
        <v>425</v>
      </c>
      <c r="N5" s="26" t="s">
        <v>435</v>
      </c>
      <c r="O5" s="26" t="s">
        <v>354</v>
      </c>
      <c r="P5" s="26" t="s">
        <v>430</v>
      </c>
      <c r="Q5" s="26" t="s">
        <v>691</v>
      </c>
      <c r="R5" s="26" t="s">
        <v>421</v>
      </c>
      <c r="S5" s="26" t="s">
        <v>427</v>
      </c>
    </row>
    <row r="6" spans="1:20" ht="12.75">
      <c r="A6" s="22" t="s">
        <v>118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23" t="s">
        <v>115</v>
      </c>
    </row>
    <row r="7" spans="1:19" ht="12.75">
      <c r="A7" s="22" t="s">
        <v>686</v>
      </c>
      <c r="B7" s="49">
        <v>51.11</v>
      </c>
      <c r="C7" s="31">
        <v>126879</v>
      </c>
      <c r="D7" s="31">
        <v>142598</v>
      </c>
      <c r="E7" s="31">
        <v>147945</v>
      </c>
      <c r="F7" s="31">
        <v>170007</v>
      </c>
      <c r="G7" s="31">
        <v>162379</v>
      </c>
      <c r="H7" s="31">
        <v>202862</v>
      </c>
      <c r="I7" s="31">
        <v>217388</v>
      </c>
      <c r="J7" s="31">
        <v>210122</v>
      </c>
      <c r="K7" s="31">
        <v>245926</v>
      </c>
      <c r="L7" s="31">
        <v>262445.16</v>
      </c>
      <c r="M7" s="2">
        <v>221744</v>
      </c>
      <c r="N7" s="31">
        <f aca="true" t="shared" si="0" ref="N7:N34">(12/$M$3)*M7</f>
        <v>266092.8</v>
      </c>
      <c r="O7" s="31">
        <v>274724.779</v>
      </c>
      <c r="P7" s="31">
        <v>276786.24</v>
      </c>
      <c r="Q7" s="31">
        <v>276786</v>
      </c>
      <c r="R7" s="31">
        <v>276786</v>
      </c>
      <c r="S7" s="52">
        <f aca="true" t="shared" si="1" ref="S7:S12">(R7-O7)/O7</f>
        <v>0.0075028579784571225</v>
      </c>
    </row>
    <row r="8" spans="1:19" ht="12.75">
      <c r="A8" s="22" t="s">
        <v>79</v>
      </c>
      <c r="B8" s="49">
        <v>51.1105</v>
      </c>
      <c r="C8" s="31"/>
      <c r="D8" s="31"/>
      <c r="E8" s="31"/>
      <c r="F8" s="31"/>
      <c r="G8" s="31">
        <v>2888</v>
      </c>
      <c r="H8" s="31">
        <v>2689</v>
      </c>
      <c r="I8" s="31">
        <v>4897</v>
      </c>
      <c r="J8" s="31">
        <v>7623</v>
      </c>
      <c r="K8" s="31">
        <v>11317</v>
      </c>
      <c r="L8" s="31">
        <v>11998</v>
      </c>
      <c r="M8" s="2">
        <v>5941</v>
      </c>
      <c r="N8" s="31">
        <f t="shared" si="0"/>
        <v>7129.2</v>
      </c>
      <c r="O8" s="31">
        <v>11200</v>
      </c>
      <c r="P8" s="31">
        <v>11200</v>
      </c>
      <c r="Q8" s="31">
        <v>11200</v>
      </c>
      <c r="R8" s="31">
        <f>11200-2543</f>
        <v>8657</v>
      </c>
      <c r="S8" s="52">
        <f t="shared" si="1"/>
        <v>-0.22705357142857144</v>
      </c>
    </row>
    <row r="9" spans="1:19" ht="12.75">
      <c r="A9" s="22" t="s">
        <v>152</v>
      </c>
      <c r="B9" s="49">
        <v>51.13</v>
      </c>
      <c r="C9" s="31">
        <v>887</v>
      </c>
      <c r="D9" s="31">
        <v>1056</v>
      </c>
      <c r="E9" s="31">
        <v>1746</v>
      </c>
      <c r="F9" s="31">
        <v>2292</v>
      </c>
      <c r="G9" s="31">
        <v>1633</v>
      </c>
      <c r="H9" s="31">
        <v>3376</v>
      </c>
      <c r="I9" s="31">
        <v>1847</v>
      </c>
      <c r="J9" s="31">
        <v>2429</v>
      </c>
      <c r="K9" s="31">
        <v>2291</v>
      </c>
      <c r="L9" s="31">
        <v>1968</v>
      </c>
      <c r="M9" s="2"/>
      <c r="N9" s="31"/>
      <c r="O9" s="31">
        <v>0</v>
      </c>
      <c r="P9" s="31"/>
      <c r="Q9" s="31"/>
      <c r="R9" s="31"/>
      <c r="S9" s="52" t="e">
        <f t="shared" si="1"/>
        <v>#DIV/0!</v>
      </c>
    </row>
    <row r="10" spans="1:20" ht="12.75">
      <c r="A10" s="22" t="s">
        <v>159</v>
      </c>
      <c r="B10" s="49">
        <v>51.21</v>
      </c>
      <c r="C10" s="31">
        <v>5149</v>
      </c>
      <c r="D10" s="31">
        <v>5031</v>
      </c>
      <c r="E10" s="31">
        <v>6372</v>
      </c>
      <c r="F10" s="31">
        <v>5679</v>
      </c>
      <c r="G10" s="31">
        <v>6695</v>
      </c>
      <c r="H10" s="31">
        <v>12525</v>
      </c>
      <c r="I10" s="31">
        <v>12607</v>
      </c>
      <c r="J10" s="31">
        <v>11673</v>
      </c>
      <c r="K10" s="31">
        <v>16044</v>
      </c>
      <c r="L10" s="31">
        <v>17323</v>
      </c>
      <c r="M10" s="2">
        <v>15785</v>
      </c>
      <c r="N10" s="31">
        <f>(12/$M$3)*M10</f>
        <v>18942</v>
      </c>
      <c r="O10" s="31">
        <v>19200</v>
      </c>
      <c r="P10" s="31">
        <f>4*4920</f>
        <v>19680</v>
      </c>
      <c r="Q10" s="31">
        <f>4*4920</f>
        <v>19680</v>
      </c>
      <c r="R10" s="31">
        <v>19680</v>
      </c>
      <c r="S10" s="52">
        <f t="shared" si="1"/>
        <v>0.025</v>
      </c>
      <c r="T10" s="22" t="s">
        <v>822</v>
      </c>
    </row>
    <row r="11" spans="1:19" ht="12.75">
      <c r="A11" s="22" t="s">
        <v>139</v>
      </c>
      <c r="B11" s="49">
        <v>51.22</v>
      </c>
      <c r="C11" s="31">
        <v>9924</v>
      </c>
      <c r="D11" s="31">
        <v>10989</v>
      </c>
      <c r="E11" s="31">
        <v>11450</v>
      </c>
      <c r="F11" s="31">
        <v>13340</v>
      </c>
      <c r="G11" s="31">
        <v>12520</v>
      </c>
      <c r="H11" s="31">
        <v>15204</v>
      </c>
      <c r="I11" s="31">
        <v>16053</v>
      </c>
      <c r="J11" s="31">
        <v>16437</v>
      </c>
      <c r="K11" s="31">
        <v>19332</v>
      </c>
      <c r="L11" s="31">
        <v>20578.21</v>
      </c>
      <c r="M11" s="2">
        <v>16874</v>
      </c>
      <c r="N11" s="31">
        <f>(N7+N8+N9)*0.0765</f>
        <v>20901.483</v>
      </c>
      <c r="O11" s="31">
        <v>21934.445593499997</v>
      </c>
      <c r="P11" s="31">
        <f>(P7+P8+P9)*0.0765</f>
        <v>22030.94736</v>
      </c>
      <c r="Q11" s="31">
        <f>(Q7+Q8+Q9)*0.0765</f>
        <v>22030.929</v>
      </c>
      <c r="R11" s="31">
        <f>(R7+R8+R9)*0.0765</f>
        <v>21836.3895</v>
      </c>
      <c r="S11" s="52">
        <f t="shared" si="1"/>
        <v>-0.004470415861755516</v>
      </c>
    </row>
    <row r="12" spans="1:19" ht="12.75">
      <c r="A12" s="22" t="s">
        <v>153</v>
      </c>
      <c r="B12" s="49">
        <v>51.24</v>
      </c>
      <c r="C12" s="31">
        <v>2036</v>
      </c>
      <c r="D12" s="31">
        <v>2072</v>
      </c>
      <c r="E12" s="31">
        <v>2674</v>
      </c>
      <c r="F12" s="31">
        <v>3855</v>
      </c>
      <c r="G12" s="31">
        <v>5444</v>
      </c>
      <c r="H12" s="31">
        <v>2248</v>
      </c>
      <c r="I12" s="31">
        <v>6368</v>
      </c>
      <c r="J12" s="31">
        <v>2910</v>
      </c>
      <c r="K12" s="31">
        <v>21454</v>
      </c>
      <c r="L12" s="31">
        <v>15228</v>
      </c>
      <c r="M12" s="2">
        <v>10597</v>
      </c>
      <c r="N12" s="31">
        <f>(12/$M$3)*M12</f>
        <v>12716.4</v>
      </c>
      <c r="O12" s="31">
        <v>16600</v>
      </c>
      <c r="P12" s="178">
        <v>17100</v>
      </c>
      <c r="Q12" s="31">
        <v>17100</v>
      </c>
      <c r="R12" s="31">
        <v>17100</v>
      </c>
      <c r="S12" s="52">
        <f t="shared" si="1"/>
        <v>0.030120481927710843</v>
      </c>
    </row>
    <row r="13" spans="2:20" ht="12.75">
      <c r="B13" s="4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52"/>
      <c r="T13" s="31"/>
    </row>
    <row r="14" spans="1:19" ht="12.75">
      <c r="A14" s="22" t="s">
        <v>572</v>
      </c>
      <c r="B14" s="49">
        <v>52.1211</v>
      </c>
      <c r="C14" s="31"/>
      <c r="D14" s="31"/>
      <c r="E14" s="31"/>
      <c r="F14" s="31"/>
      <c r="G14" s="31"/>
      <c r="H14" s="31"/>
      <c r="I14" s="31"/>
      <c r="J14" s="31"/>
      <c r="K14" s="31">
        <v>1005</v>
      </c>
      <c r="L14" s="31"/>
      <c r="M14" s="31"/>
      <c r="N14" s="31"/>
      <c r="O14" s="31"/>
      <c r="P14" s="31"/>
      <c r="Q14" s="31"/>
      <c r="R14" s="31"/>
      <c r="S14" s="52"/>
    </row>
    <row r="15" spans="1:19" ht="12.75">
      <c r="A15" s="22" t="s">
        <v>634</v>
      </c>
      <c r="B15" s="49">
        <v>52.122</v>
      </c>
      <c r="C15" s="31"/>
      <c r="D15" s="31"/>
      <c r="E15" s="31"/>
      <c r="F15" s="31"/>
      <c r="G15" s="31"/>
      <c r="H15" s="31"/>
      <c r="I15" s="31">
        <v>18445</v>
      </c>
      <c r="J15" s="31">
        <v>6956</v>
      </c>
      <c r="K15" s="31"/>
      <c r="L15" s="31"/>
      <c r="M15" s="31"/>
      <c r="N15" s="31"/>
      <c r="O15" s="31"/>
      <c r="P15" s="31"/>
      <c r="Q15" s="31"/>
      <c r="R15" s="31"/>
      <c r="S15" s="52"/>
    </row>
    <row r="16" spans="1:19" ht="12.75" hidden="1">
      <c r="A16" s="22" t="s">
        <v>367</v>
      </c>
      <c r="B16" s="49">
        <v>52.1305</v>
      </c>
      <c r="C16" s="31"/>
      <c r="D16" s="31"/>
      <c r="E16" s="31"/>
      <c r="F16" s="31">
        <v>114</v>
      </c>
      <c r="G16" s="31"/>
      <c r="H16" s="31"/>
      <c r="I16" s="31"/>
      <c r="J16" s="31"/>
      <c r="K16" s="31"/>
      <c r="L16" s="31"/>
      <c r="M16" s="31"/>
      <c r="N16" s="31">
        <f t="shared" si="0"/>
        <v>0</v>
      </c>
      <c r="O16" s="31"/>
      <c r="P16" s="31"/>
      <c r="Q16" s="31"/>
      <c r="R16" s="31"/>
      <c r="S16" s="52"/>
    </row>
    <row r="17" spans="1:19" ht="12.75" hidden="1">
      <c r="A17" s="22" t="s">
        <v>378</v>
      </c>
      <c r="B17" s="49">
        <v>52.131</v>
      </c>
      <c r="C17" s="31"/>
      <c r="D17" s="31"/>
      <c r="E17" s="31">
        <v>1670</v>
      </c>
      <c r="F17" s="31"/>
      <c r="G17" s="31">
        <v>1500</v>
      </c>
      <c r="H17" s="31"/>
      <c r="I17" s="31"/>
      <c r="J17" s="31"/>
      <c r="K17" s="31"/>
      <c r="L17" s="31"/>
      <c r="M17" s="31"/>
      <c r="N17" s="31">
        <f t="shared" si="0"/>
        <v>0</v>
      </c>
      <c r="O17" s="31"/>
      <c r="P17" s="31"/>
      <c r="Q17" s="31"/>
      <c r="R17" s="31"/>
      <c r="S17" s="52"/>
    </row>
    <row r="18" spans="2:19" ht="12.75">
      <c r="B18" s="49">
        <v>52.1319</v>
      </c>
      <c r="C18" s="31"/>
      <c r="D18" s="31"/>
      <c r="E18" s="31"/>
      <c r="F18" s="31"/>
      <c r="G18" s="31">
        <v>395</v>
      </c>
      <c r="H18" s="31"/>
      <c r="I18" s="31"/>
      <c r="J18" s="31">
        <v>171</v>
      </c>
      <c r="K18" s="31"/>
      <c r="L18" s="31"/>
      <c r="M18" s="31"/>
      <c r="N18" s="31"/>
      <c r="O18" s="31"/>
      <c r="P18" s="31"/>
      <c r="Q18" s="31"/>
      <c r="R18" s="31"/>
      <c r="S18" s="52"/>
    </row>
    <row r="19" spans="1:20" ht="12.75">
      <c r="A19" s="22" t="s">
        <v>141</v>
      </c>
      <c r="B19" s="49">
        <v>52.32</v>
      </c>
      <c r="C19" s="31">
        <v>15200</v>
      </c>
      <c r="D19" s="31">
        <v>17341</v>
      </c>
      <c r="E19" s="31">
        <v>15986</v>
      </c>
      <c r="F19" s="31">
        <v>16288</v>
      </c>
      <c r="G19" s="31">
        <v>13454</v>
      </c>
      <c r="H19" s="31">
        <v>8232</v>
      </c>
      <c r="I19" s="31">
        <v>8100</v>
      </c>
      <c r="J19" s="31">
        <v>8600</v>
      </c>
      <c r="K19" s="31">
        <v>9131</v>
      </c>
      <c r="L19" s="31">
        <v>9064</v>
      </c>
      <c r="M19" s="2">
        <v>7334</v>
      </c>
      <c r="N19" s="31">
        <f t="shared" si="0"/>
        <v>8800.8</v>
      </c>
      <c r="O19" s="31">
        <v>9000</v>
      </c>
      <c r="P19" s="31">
        <v>9000</v>
      </c>
      <c r="Q19" s="31">
        <v>9000</v>
      </c>
      <c r="R19" s="31">
        <v>9000</v>
      </c>
      <c r="S19" s="52">
        <f>(R19-O19)/O19</f>
        <v>0</v>
      </c>
      <c r="T19" s="46"/>
    </row>
    <row r="20" spans="1:19" ht="12.75">
      <c r="A20" s="22" t="s">
        <v>142</v>
      </c>
      <c r="B20" s="49">
        <v>52.321</v>
      </c>
      <c r="C20" s="31">
        <v>1416</v>
      </c>
      <c r="D20" s="31">
        <v>1766</v>
      </c>
      <c r="E20" s="31">
        <v>2778</v>
      </c>
      <c r="F20" s="31">
        <v>1501</v>
      </c>
      <c r="G20" s="31">
        <v>1143</v>
      </c>
      <c r="H20" s="31">
        <v>112</v>
      </c>
      <c r="I20" s="31">
        <v>636</v>
      </c>
      <c r="J20" s="31">
        <v>491</v>
      </c>
      <c r="K20" s="31">
        <f>196+43</f>
        <v>239</v>
      </c>
      <c r="L20" s="31">
        <v>401</v>
      </c>
      <c r="M20" s="2">
        <v>422</v>
      </c>
      <c r="N20" s="31">
        <f t="shared" si="0"/>
        <v>506.4</v>
      </c>
      <c r="O20" s="31">
        <v>800</v>
      </c>
      <c r="P20" s="31">
        <v>800</v>
      </c>
      <c r="Q20" s="31">
        <v>800</v>
      </c>
      <c r="R20" s="31">
        <v>800</v>
      </c>
      <c r="S20" s="52">
        <f>(R20-O20)/O20</f>
        <v>0</v>
      </c>
    </row>
    <row r="21" spans="1:19" ht="11.25" customHeight="1">
      <c r="A21" s="22" t="s">
        <v>154</v>
      </c>
      <c r="B21" s="49">
        <v>52.35</v>
      </c>
      <c r="C21" s="31">
        <v>6411</v>
      </c>
      <c r="D21" s="31">
        <v>7764</v>
      </c>
      <c r="E21" s="31">
        <v>3673</v>
      </c>
      <c r="F21" s="31">
        <v>2980</v>
      </c>
      <c r="G21" s="31">
        <v>1132</v>
      </c>
      <c r="H21" s="31">
        <v>4105</v>
      </c>
      <c r="I21" s="31">
        <v>2182</v>
      </c>
      <c r="J21" s="31">
        <v>2838</v>
      </c>
      <c r="K21" s="31">
        <v>2583</v>
      </c>
      <c r="L21" s="31">
        <v>2498</v>
      </c>
      <c r="M21" s="2">
        <v>1410</v>
      </c>
      <c r="N21" s="31">
        <f t="shared" si="0"/>
        <v>1692</v>
      </c>
      <c r="O21" s="31">
        <v>3000</v>
      </c>
      <c r="P21" s="31">
        <v>3000</v>
      </c>
      <c r="Q21" s="31">
        <v>3000</v>
      </c>
      <c r="R21" s="31">
        <v>3000</v>
      </c>
      <c r="S21" s="52">
        <f>(R21-O21)/O21</f>
        <v>0</v>
      </c>
    </row>
    <row r="22" spans="1:19" ht="12.75" hidden="1">
      <c r="A22" s="22" t="s">
        <v>144</v>
      </c>
      <c r="B22" s="49">
        <v>52.3602</v>
      </c>
      <c r="C22" s="31">
        <v>30</v>
      </c>
      <c r="D22" s="31">
        <v>145</v>
      </c>
      <c r="E22" s="31">
        <v>130</v>
      </c>
      <c r="F22" s="31">
        <v>170</v>
      </c>
      <c r="G22" s="31">
        <v>50</v>
      </c>
      <c r="H22" s="31"/>
      <c r="I22" s="31"/>
      <c r="J22" s="31"/>
      <c r="K22" s="31"/>
      <c r="L22" s="31"/>
      <c r="M22" s="31"/>
      <c r="N22" s="31">
        <f t="shared" si="0"/>
        <v>0</v>
      </c>
      <c r="O22" s="31"/>
      <c r="P22" s="31"/>
      <c r="Q22" s="31"/>
      <c r="R22" s="31"/>
      <c r="S22" s="52"/>
    </row>
    <row r="23" spans="1:19" ht="12.75">
      <c r="A23" s="22" t="s">
        <v>155</v>
      </c>
      <c r="B23" s="49">
        <v>52.37</v>
      </c>
      <c r="C23" s="31"/>
      <c r="D23" s="31"/>
      <c r="E23" s="31">
        <v>3484</v>
      </c>
      <c r="F23" s="31">
        <v>2170</v>
      </c>
      <c r="G23" s="31">
        <v>1939</v>
      </c>
      <c r="H23" s="31">
        <v>4285</v>
      </c>
      <c r="I23" s="31"/>
      <c r="J23" s="31">
        <v>2240</v>
      </c>
      <c r="K23" s="31">
        <v>3075</v>
      </c>
      <c r="L23" s="31">
        <v>2318</v>
      </c>
      <c r="M23" s="2">
        <v>1305</v>
      </c>
      <c r="N23" s="31">
        <f t="shared" si="0"/>
        <v>1566</v>
      </c>
      <c r="O23" s="31">
        <v>2500</v>
      </c>
      <c r="P23" s="31">
        <v>2500</v>
      </c>
      <c r="Q23" s="31">
        <v>2500</v>
      </c>
      <c r="R23" s="31">
        <v>2500</v>
      </c>
      <c r="S23" s="52"/>
    </row>
    <row r="24" spans="1:19" ht="12.75">
      <c r="A24" s="22" t="s">
        <v>635</v>
      </c>
      <c r="B24" s="49">
        <v>53.1323</v>
      </c>
      <c r="C24" s="31"/>
      <c r="D24" s="31"/>
      <c r="E24" s="31"/>
      <c r="F24" s="31"/>
      <c r="G24" s="31"/>
      <c r="H24" s="31"/>
      <c r="I24" s="31">
        <v>1184</v>
      </c>
      <c r="J24" s="31">
        <v>700</v>
      </c>
      <c r="K24" s="31"/>
      <c r="L24" s="31">
        <v>15</v>
      </c>
      <c r="M24" s="31"/>
      <c r="N24" s="31"/>
      <c r="O24" s="31"/>
      <c r="P24" s="31"/>
      <c r="Q24" s="31"/>
      <c r="R24" s="31"/>
      <c r="S24" s="52"/>
    </row>
    <row r="25" spans="2:19" ht="12.75">
      <c r="B25" s="4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52"/>
    </row>
    <row r="26" spans="1:19" ht="12.75">
      <c r="A26" s="22" t="s">
        <v>381</v>
      </c>
      <c r="B26" s="49">
        <v>53.1704</v>
      </c>
      <c r="C26" s="31"/>
      <c r="D26" s="31"/>
      <c r="E26" s="31">
        <v>38</v>
      </c>
      <c r="F26" s="31"/>
      <c r="G26" s="31"/>
      <c r="H26" s="31">
        <v>31</v>
      </c>
      <c r="I26" s="31">
        <v>8</v>
      </c>
      <c r="J26" s="31"/>
      <c r="K26" s="31"/>
      <c r="L26" s="31"/>
      <c r="M26" s="31"/>
      <c r="N26" s="31">
        <f t="shared" si="0"/>
        <v>0</v>
      </c>
      <c r="O26" s="31"/>
      <c r="P26" s="31"/>
      <c r="Q26" s="31"/>
      <c r="R26" s="31"/>
      <c r="S26" s="52"/>
    </row>
    <row r="27" spans="1:19" ht="12.75">
      <c r="A27" s="22" t="s">
        <v>149</v>
      </c>
      <c r="B27" s="49">
        <v>53.171</v>
      </c>
      <c r="C27" s="31">
        <v>2466</v>
      </c>
      <c r="D27" s="31">
        <v>2367</v>
      </c>
      <c r="E27" s="31">
        <v>3434</v>
      </c>
      <c r="F27" s="31">
        <v>1995</v>
      </c>
      <c r="G27" s="31">
        <v>3920</v>
      </c>
      <c r="H27" s="31">
        <v>2434</v>
      </c>
      <c r="I27" s="31">
        <v>1778</v>
      </c>
      <c r="J27" s="31">
        <v>1852</v>
      </c>
      <c r="K27" s="31">
        <v>1810</v>
      </c>
      <c r="L27" s="31">
        <v>2412</v>
      </c>
      <c r="M27" s="31">
        <v>440.53</v>
      </c>
      <c r="N27" s="31">
        <f t="shared" si="0"/>
        <v>528.636</v>
      </c>
      <c r="O27" s="31">
        <v>2400</v>
      </c>
      <c r="P27" s="31">
        <v>2000</v>
      </c>
      <c r="Q27" s="31">
        <v>2000</v>
      </c>
      <c r="R27" s="31">
        <v>2000</v>
      </c>
      <c r="S27" s="52">
        <f>(R27-O27)/O27</f>
        <v>-0.16666666666666666</v>
      </c>
    </row>
    <row r="28" spans="1:20" ht="12.75" hidden="1">
      <c r="A28" s="22" t="s">
        <v>379</v>
      </c>
      <c r="B28" s="49">
        <v>53.175</v>
      </c>
      <c r="C28" s="31"/>
      <c r="D28" s="31"/>
      <c r="E28" s="31">
        <v>8</v>
      </c>
      <c r="F28" s="31">
        <v>168</v>
      </c>
      <c r="G28" s="31"/>
      <c r="H28" s="31"/>
      <c r="I28" s="31"/>
      <c r="J28" s="31"/>
      <c r="K28" s="31"/>
      <c r="L28" s="31"/>
      <c r="M28" s="31"/>
      <c r="N28" s="31">
        <f t="shared" si="0"/>
        <v>0</v>
      </c>
      <c r="O28" s="31"/>
      <c r="P28" s="31"/>
      <c r="Q28" s="31"/>
      <c r="R28" s="31"/>
      <c r="S28" s="52"/>
      <c r="T28" s="22" t="s">
        <v>571</v>
      </c>
    </row>
    <row r="29" spans="1:20" ht="12.75" hidden="1">
      <c r="A29" s="22" t="s">
        <v>701</v>
      </c>
      <c r="B29" s="49">
        <v>53.176</v>
      </c>
      <c r="C29" s="31"/>
      <c r="D29" s="31"/>
      <c r="E29" s="31">
        <v>29</v>
      </c>
      <c r="F29" s="31">
        <v>7</v>
      </c>
      <c r="G29" s="31"/>
      <c r="H29" s="31"/>
      <c r="I29" s="31"/>
      <c r="J29" s="31"/>
      <c r="K29" s="31"/>
      <c r="L29" s="31"/>
      <c r="M29" s="31"/>
      <c r="N29" s="31">
        <f t="shared" si="0"/>
        <v>0</v>
      </c>
      <c r="O29" s="31"/>
      <c r="P29" s="31"/>
      <c r="Q29" s="31"/>
      <c r="R29" s="31"/>
      <c r="S29" s="52"/>
      <c r="T29" s="22" t="s">
        <v>571</v>
      </c>
    </row>
    <row r="30" spans="1:20" ht="12.75" hidden="1">
      <c r="A30" s="22" t="s">
        <v>380</v>
      </c>
      <c r="B30" s="49">
        <v>53.177</v>
      </c>
      <c r="C30" s="31"/>
      <c r="D30" s="31"/>
      <c r="F30" s="31">
        <v>48</v>
      </c>
      <c r="G30" s="31"/>
      <c r="H30" s="31"/>
      <c r="I30" s="31"/>
      <c r="J30" s="31"/>
      <c r="K30" s="31"/>
      <c r="L30" s="31"/>
      <c r="M30" s="31"/>
      <c r="N30" s="31">
        <f t="shared" si="0"/>
        <v>0</v>
      </c>
      <c r="O30" s="31"/>
      <c r="P30" s="31"/>
      <c r="Q30" s="31"/>
      <c r="R30" s="31"/>
      <c r="S30" s="52"/>
      <c r="T30" s="22" t="s">
        <v>571</v>
      </c>
    </row>
    <row r="31" spans="1:20" ht="12.75" hidden="1">
      <c r="A31" s="22" t="s">
        <v>179</v>
      </c>
      <c r="B31" s="49">
        <v>53.179</v>
      </c>
      <c r="C31" s="31"/>
      <c r="D31" s="31">
        <v>10</v>
      </c>
      <c r="E31" s="31">
        <v>7</v>
      </c>
      <c r="F31" s="31">
        <v>239</v>
      </c>
      <c r="G31" s="31"/>
      <c r="H31" s="31"/>
      <c r="I31" s="31"/>
      <c r="J31" s="31"/>
      <c r="K31" s="31"/>
      <c r="L31" s="31"/>
      <c r="M31" s="31"/>
      <c r="N31" s="31">
        <f t="shared" si="0"/>
        <v>0</v>
      </c>
      <c r="O31" s="31"/>
      <c r="P31" s="31"/>
      <c r="Q31" s="31"/>
      <c r="R31" s="31"/>
      <c r="S31" s="52"/>
      <c r="T31" s="22" t="s">
        <v>571</v>
      </c>
    </row>
    <row r="32" spans="1:19" ht="12.75">
      <c r="A32" s="22" t="s">
        <v>656</v>
      </c>
      <c r="B32" s="49">
        <v>53.1728</v>
      </c>
      <c r="C32" s="31"/>
      <c r="D32" s="31"/>
      <c r="E32" s="31"/>
      <c r="F32" s="31"/>
      <c r="G32" s="31"/>
      <c r="H32" s="31"/>
      <c r="I32" s="31">
        <v>197</v>
      </c>
      <c r="J32" s="31"/>
      <c r="K32" s="31"/>
      <c r="L32" s="31"/>
      <c r="M32" s="31"/>
      <c r="N32" s="31"/>
      <c r="O32" s="31"/>
      <c r="P32" s="31"/>
      <c r="Q32" s="31"/>
      <c r="R32" s="31"/>
      <c r="S32" s="52"/>
    </row>
    <row r="33" spans="2:19" ht="12.75">
      <c r="B33" s="49"/>
      <c r="C33" s="31"/>
      <c r="D33" s="31"/>
      <c r="E33" s="31"/>
      <c r="F33" s="31"/>
      <c r="G33" s="31"/>
      <c r="H33" s="31"/>
      <c r="I33" s="31">
        <v>638</v>
      </c>
      <c r="J33" s="31"/>
      <c r="K33" s="31"/>
      <c r="L33" s="31"/>
      <c r="M33" s="31"/>
      <c r="N33" s="31">
        <f t="shared" si="0"/>
        <v>0</v>
      </c>
      <c r="O33" s="31"/>
      <c r="P33" s="31"/>
      <c r="Q33" s="31"/>
      <c r="R33" s="31"/>
      <c r="S33" s="52"/>
    </row>
    <row r="34" spans="1:19" ht="12.75" hidden="1">
      <c r="A34" s="22" t="s">
        <v>164</v>
      </c>
      <c r="B34" s="49">
        <v>54.22</v>
      </c>
      <c r="C34" s="31"/>
      <c r="D34" s="31"/>
      <c r="E34" s="31">
        <v>3618</v>
      </c>
      <c r="F34" s="31"/>
      <c r="G34" s="31"/>
      <c r="H34" s="31"/>
      <c r="I34" s="31"/>
      <c r="J34" s="31"/>
      <c r="K34" s="31"/>
      <c r="L34" s="31"/>
      <c r="M34" s="31"/>
      <c r="N34" s="31">
        <f t="shared" si="0"/>
        <v>0</v>
      </c>
      <c r="O34" s="31"/>
      <c r="P34" s="31"/>
      <c r="Q34" s="31"/>
      <c r="R34" s="31"/>
      <c r="S34" s="52"/>
    </row>
    <row r="35" spans="1:19" ht="12.75">
      <c r="A35" s="22" t="s">
        <v>230</v>
      </c>
      <c r="B35" s="49">
        <v>54.24</v>
      </c>
      <c r="C35" s="31"/>
      <c r="D35" s="31"/>
      <c r="E35" s="31"/>
      <c r="F35" s="31">
        <v>1299</v>
      </c>
      <c r="G35" s="31">
        <v>190</v>
      </c>
      <c r="H35" s="31">
        <v>49</v>
      </c>
      <c r="I35" s="31">
        <f>114+107</f>
        <v>221</v>
      </c>
      <c r="J35" s="31">
        <v>20901</v>
      </c>
      <c r="K35" s="31"/>
      <c r="L35" s="31"/>
      <c r="M35" s="2"/>
      <c r="N35" s="31"/>
      <c r="O35" s="31"/>
      <c r="P35" s="31"/>
      <c r="Q35" s="31"/>
      <c r="R35" s="31"/>
      <c r="S35" s="52"/>
    </row>
    <row r="36" spans="1:19" ht="12.75">
      <c r="A36" s="22" t="s">
        <v>718</v>
      </c>
      <c r="B36" s="4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52"/>
    </row>
    <row r="37" spans="2:19" ht="12.75">
      <c r="B37" s="4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52"/>
    </row>
    <row r="38" spans="1:19" ht="12.75">
      <c r="A38" s="46" t="s">
        <v>116</v>
      </c>
      <c r="B38" s="46"/>
      <c r="C38" s="50">
        <v>172023</v>
      </c>
      <c r="D38" s="47">
        <v>192947</v>
      </c>
      <c r="E38" s="47">
        <v>206866</v>
      </c>
      <c r="F38" s="47">
        <v>222152</v>
      </c>
      <c r="G38" s="47">
        <v>215282</v>
      </c>
      <c r="H38" s="47">
        <v>258152</v>
      </c>
      <c r="I38" s="47">
        <v>292549</v>
      </c>
      <c r="J38" s="47">
        <v>307781</v>
      </c>
      <c r="K38" s="47">
        <v>334207</v>
      </c>
      <c r="L38" s="47">
        <v>346323</v>
      </c>
      <c r="M38" s="47">
        <f aca="true" t="shared" si="2" ref="M38:R38">SUM(M7:M37)</f>
        <v>281852.53</v>
      </c>
      <c r="N38" s="47">
        <f t="shared" si="2"/>
        <v>338875.71900000004</v>
      </c>
      <c r="O38" s="47">
        <f>SUM(O7:O37)</f>
        <v>361359.22459349997</v>
      </c>
      <c r="P38" s="47">
        <f t="shared" si="2"/>
        <v>364097.18736</v>
      </c>
      <c r="Q38" s="47">
        <f t="shared" si="2"/>
        <v>364096.929</v>
      </c>
      <c r="R38" s="47">
        <f t="shared" si="2"/>
        <v>361359.3895</v>
      </c>
      <c r="S38" s="53">
        <f>(R38-O38)/O38</f>
        <v>4.563506029472369E-07</v>
      </c>
    </row>
    <row r="40" spans="15:19" ht="12.75">
      <c r="O40" s="22" t="s">
        <v>488</v>
      </c>
      <c r="Q40" s="56">
        <f>P38-Q38</f>
        <v>0.25835999997798353</v>
      </c>
      <c r="R40" s="55"/>
      <c r="S40" s="43"/>
    </row>
    <row r="41" spans="15:17" ht="12.75">
      <c r="O41" s="22" t="s">
        <v>761</v>
      </c>
      <c r="Q41" s="56">
        <f>O38-Q38</f>
        <v>-2737.7044065000373</v>
      </c>
    </row>
    <row r="42" spans="15:21" ht="12.75">
      <c r="O42" s="22" t="s">
        <v>436</v>
      </c>
      <c r="Q42" s="56">
        <f>Q38-R38</f>
        <v>2737.5395000000135</v>
      </c>
      <c r="U42" s="31"/>
    </row>
    <row r="44" ht="12.75">
      <c r="A44" t="s">
        <v>31</v>
      </c>
    </row>
    <row r="56" spans="3:16" ht="12.75">
      <c r="C56" s="31"/>
      <c r="D56" s="31"/>
      <c r="E56" s="31"/>
      <c r="F56" s="31"/>
      <c r="G56" s="31"/>
      <c r="H56" s="31"/>
      <c r="I56" s="31"/>
      <c r="J56" s="31"/>
      <c r="K56" s="31"/>
      <c r="L56" s="31"/>
      <c r="O56" s="31"/>
      <c r="P56" s="31"/>
    </row>
    <row r="57" spans="3:16" ht="12.75">
      <c r="C57" s="31"/>
      <c r="D57" s="31"/>
      <c r="E57" s="31"/>
      <c r="F57" s="31"/>
      <c r="G57" s="31"/>
      <c r="H57" s="31"/>
      <c r="I57" s="31"/>
      <c r="J57" s="31"/>
      <c r="K57" s="31"/>
      <c r="L57" s="31"/>
      <c r="O57" s="31"/>
      <c r="P57" s="31"/>
    </row>
    <row r="58" spans="3:16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O58" s="31"/>
      <c r="P58" s="31"/>
    </row>
    <row r="59" spans="3:16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O59" s="31"/>
      <c r="P59" s="31"/>
    </row>
    <row r="60" spans="3:16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3:16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3:14" ht="12.75">
      <c r="M62" s="31"/>
      <c r="N62" s="31"/>
    </row>
    <row r="63" spans="13:19" ht="12.75">
      <c r="M63" s="31"/>
      <c r="N63" s="31"/>
      <c r="Q63" s="31"/>
      <c r="R63" s="31"/>
      <c r="S63" s="31"/>
    </row>
    <row r="64" spans="13:19" ht="12.75">
      <c r="M64" s="31"/>
      <c r="N64" s="31"/>
      <c r="Q64" s="31"/>
      <c r="R64" s="31"/>
      <c r="S64" s="31"/>
    </row>
    <row r="65" spans="13:19" ht="12.75">
      <c r="M65" s="31"/>
      <c r="N65" s="31"/>
      <c r="Q65" s="31"/>
      <c r="R65" s="31"/>
      <c r="S65" s="31"/>
    </row>
    <row r="66" spans="17:19" ht="12.75">
      <c r="Q66" s="31"/>
      <c r="R66" s="31"/>
      <c r="S66" s="31"/>
    </row>
    <row r="67" spans="17:19" ht="12.75">
      <c r="Q67" s="31"/>
      <c r="R67" s="31"/>
      <c r="S67" s="31"/>
    </row>
    <row r="68" spans="17:19" ht="12.75">
      <c r="Q68" s="31"/>
      <c r="R68" s="31"/>
      <c r="S68" s="31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T26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7" width="11.7109375" style="0" hidden="1" customWidth="1"/>
    <col min="8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8" max="18" width="9.421875" style="0" bestFit="1" customWidth="1"/>
  </cols>
  <sheetData>
    <row r="1" ht="12.75">
      <c r="A1" t="s">
        <v>106</v>
      </c>
    </row>
    <row r="2" ht="12.75">
      <c r="A2" t="s">
        <v>107</v>
      </c>
    </row>
    <row r="3" spans="1:18" ht="12.75">
      <c r="A3" s="6" t="s">
        <v>474</v>
      </c>
      <c r="L3" s="57">
        <v>6</v>
      </c>
      <c r="M3" s="9"/>
      <c r="R3" s="1" t="s">
        <v>438</v>
      </c>
    </row>
    <row r="4" spans="3:18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9" t="s">
        <v>434</v>
      </c>
      <c r="M4" s="9"/>
      <c r="N4" s="1"/>
      <c r="O4" s="3" t="s">
        <v>111</v>
      </c>
      <c r="P4" s="3" t="s">
        <v>617</v>
      </c>
      <c r="Q4" s="3" t="s">
        <v>618</v>
      </c>
      <c r="R4" s="1" t="s">
        <v>439</v>
      </c>
    </row>
    <row r="5" spans="3:18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/>
      <c r="L5" s="1" t="s">
        <v>425</v>
      </c>
      <c r="M5" s="1" t="s">
        <v>459</v>
      </c>
      <c r="N5" s="1" t="s">
        <v>354</v>
      </c>
      <c r="O5" s="3" t="s">
        <v>112</v>
      </c>
      <c r="P5" s="3" t="s">
        <v>113</v>
      </c>
      <c r="Q5" s="3" t="s">
        <v>114</v>
      </c>
      <c r="R5" s="1" t="s">
        <v>427</v>
      </c>
    </row>
    <row r="6" spans="1:18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103"/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866</v>
      </c>
    </row>
    <row r="7" spans="1:18" ht="12.75">
      <c r="A7" t="s">
        <v>708</v>
      </c>
      <c r="B7" s="4">
        <v>51.11</v>
      </c>
      <c r="C7" s="2"/>
      <c r="D7" s="2"/>
      <c r="E7" s="2"/>
      <c r="F7" s="2">
        <v>57922</v>
      </c>
      <c r="G7" s="2">
        <v>70599</v>
      </c>
      <c r="H7" s="2">
        <v>84445</v>
      </c>
      <c r="I7" s="2">
        <v>26042</v>
      </c>
      <c r="J7" s="2"/>
      <c r="K7" s="2"/>
      <c r="L7" s="2"/>
      <c r="M7" s="2"/>
      <c r="N7" s="2"/>
      <c r="O7" s="2"/>
      <c r="P7" s="2"/>
      <c r="Q7" s="2"/>
      <c r="R7" s="92" t="e">
        <f>(Q7-N7)/N7</f>
        <v>#DIV/0!</v>
      </c>
    </row>
    <row r="8" spans="1:18" ht="12.75">
      <c r="A8" t="s">
        <v>152</v>
      </c>
      <c r="B8" s="4">
        <v>51.13</v>
      </c>
      <c r="C8" s="2"/>
      <c r="D8" s="2"/>
      <c r="E8" s="2"/>
      <c r="F8" s="2">
        <v>420</v>
      </c>
      <c r="G8" s="2">
        <v>554</v>
      </c>
      <c r="H8" s="2"/>
      <c r="I8" s="2"/>
      <c r="J8" s="2"/>
      <c r="K8" s="2"/>
      <c r="L8" s="2"/>
      <c r="M8" s="2"/>
      <c r="N8" s="2"/>
      <c r="O8" s="2"/>
      <c r="P8" s="2"/>
      <c r="Q8" s="2"/>
      <c r="R8" s="92"/>
    </row>
    <row r="9" spans="1:18" ht="12.75">
      <c r="A9" t="s">
        <v>216</v>
      </c>
      <c r="B9" s="4">
        <v>51.21</v>
      </c>
      <c r="C9" s="2"/>
      <c r="D9" s="2"/>
      <c r="E9" s="2"/>
      <c r="F9" s="2">
        <v>2840</v>
      </c>
      <c r="G9" s="2">
        <v>1543</v>
      </c>
      <c r="H9" s="2">
        <v>5705</v>
      </c>
      <c r="I9" s="2">
        <v>2638</v>
      </c>
      <c r="J9" s="2"/>
      <c r="K9" s="2"/>
      <c r="L9" s="2"/>
      <c r="M9" s="2"/>
      <c r="N9" s="2"/>
      <c r="O9" s="2"/>
      <c r="P9" s="2"/>
      <c r="Q9" s="2"/>
      <c r="R9" s="92" t="e">
        <f>(Q9-N9)/N9</f>
        <v>#DIV/0!</v>
      </c>
    </row>
    <row r="10" spans="1:18" ht="12.75">
      <c r="A10" t="s">
        <v>139</v>
      </c>
      <c r="B10" s="4">
        <v>51.22</v>
      </c>
      <c r="C10" s="2"/>
      <c r="D10" s="2"/>
      <c r="E10" s="2"/>
      <c r="F10" s="2">
        <v>4463</v>
      </c>
      <c r="G10" s="2">
        <v>5440</v>
      </c>
      <c r="H10" s="2">
        <v>6443</v>
      </c>
      <c r="I10" s="2">
        <v>1985</v>
      </c>
      <c r="J10" s="2"/>
      <c r="K10" s="2"/>
      <c r="L10" s="2"/>
      <c r="M10" s="2"/>
      <c r="N10" s="2"/>
      <c r="O10" s="2"/>
      <c r="P10" s="2"/>
      <c r="Q10" s="2"/>
      <c r="R10" s="92" t="e">
        <f>(Q10-N10)/N10</f>
        <v>#DIV/0!</v>
      </c>
    </row>
    <row r="11" spans="2:18" ht="12.7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92"/>
    </row>
    <row r="12" spans="1:18" ht="12.75">
      <c r="A12" t="s">
        <v>568</v>
      </c>
      <c r="B12" s="4">
        <v>53.175</v>
      </c>
      <c r="C12" s="2"/>
      <c r="D12" s="2"/>
      <c r="E12" s="2"/>
      <c r="F12" s="2"/>
      <c r="G12" s="2">
        <v>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92"/>
    </row>
    <row r="13" spans="1:18" ht="12.75">
      <c r="A13" t="s">
        <v>569</v>
      </c>
      <c r="B13" s="4">
        <v>53.176</v>
      </c>
      <c r="C13" s="2"/>
      <c r="D13" s="2"/>
      <c r="E13" s="2"/>
      <c r="F13" s="2"/>
      <c r="G13" s="2">
        <v>33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92"/>
    </row>
    <row r="14" spans="1:18" ht="12.75">
      <c r="A14" t="s">
        <v>179</v>
      </c>
      <c r="B14" s="4">
        <v>53.179</v>
      </c>
      <c r="C14" s="2"/>
      <c r="D14" s="2"/>
      <c r="E14" s="2"/>
      <c r="F14" s="2"/>
      <c r="G14" s="2">
        <v>673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92"/>
    </row>
    <row r="15" spans="2:18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2"/>
    </row>
    <row r="16" spans="2:18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2"/>
    </row>
    <row r="17" spans="1:18" ht="12.75">
      <c r="A17" t="s">
        <v>503</v>
      </c>
      <c r="B17" s="4">
        <v>57.218</v>
      </c>
      <c r="C17" s="2"/>
      <c r="D17" s="2"/>
      <c r="E17" s="2"/>
      <c r="F17" s="2">
        <v>48656</v>
      </c>
      <c r="G17" s="2">
        <v>86920</v>
      </c>
      <c r="H17" s="2">
        <v>59401</v>
      </c>
      <c r="I17" s="2">
        <v>17720</v>
      </c>
      <c r="J17" s="2"/>
      <c r="K17" s="2"/>
      <c r="L17" s="2"/>
      <c r="M17" s="2"/>
      <c r="N17" s="2"/>
      <c r="O17" s="2"/>
      <c r="P17" s="2"/>
      <c r="Q17" s="2"/>
      <c r="R17" s="92" t="e">
        <f>(Q17-N17)/N17</f>
        <v>#DIV/0!</v>
      </c>
    </row>
    <row r="19" spans="1:18" ht="12.75">
      <c r="A19" s="21" t="s">
        <v>346</v>
      </c>
      <c r="C19" s="8">
        <f>SUM(C7:C17)</f>
        <v>0</v>
      </c>
      <c r="D19" s="8">
        <f>SUM(D7:D17)</f>
        <v>0</v>
      </c>
      <c r="E19" s="8"/>
      <c r="F19" s="8">
        <f aca="true" t="shared" si="0" ref="F19:M19">SUM(F7:F17)</f>
        <v>114301</v>
      </c>
      <c r="G19" s="8">
        <f t="shared" si="0"/>
        <v>165782</v>
      </c>
      <c r="H19" s="8">
        <f t="shared" si="0"/>
        <v>155994</v>
      </c>
      <c r="I19" s="8">
        <f t="shared" si="0"/>
        <v>48385</v>
      </c>
      <c r="J19" s="8">
        <f t="shared" si="0"/>
        <v>0</v>
      </c>
      <c r="K19" s="8"/>
      <c r="L19" s="8">
        <f t="shared" si="0"/>
        <v>0</v>
      </c>
      <c r="M19" s="8">
        <f t="shared" si="0"/>
        <v>0</v>
      </c>
      <c r="N19" s="8">
        <f>SUM(N7:N18)</f>
        <v>0</v>
      </c>
      <c r="O19" s="8">
        <f>SUM(O7:O18)</f>
        <v>0</v>
      </c>
      <c r="P19" s="8">
        <f>SUM(P7:P18)</f>
        <v>0</v>
      </c>
      <c r="Q19" s="8">
        <f>SUM(Q7:Q18)</f>
        <v>0</v>
      </c>
      <c r="R19" s="53" t="e">
        <f>(Q19-N19)/N19</f>
        <v>#DIV/0!</v>
      </c>
    </row>
    <row r="20" ht="12.75">
      <c r="T20" t="s">
        <v>683</v>
      </c>
    </row>
    <row r="21" spans="1:16" ht="12.75">
      <c r="A21" t="s">
        <v>345</v>
      </c>
      <c r="B21">
        <v>2</v>
      </c>
      <c r="N21" s="22" t="s">
        <v>488</v>
      </c>
      <c r="O21" s="22"/>
      <c r="P21" s="56">
        <f>O19-P19</f>
        <v>0</v>
      </c>
    </row>
    <row r="22" spans="14:16" ht="12.75">
      <c r="N22" s="22" t="s">
        <v>761</v>
      </c>
      <c r="O22" s="22"/>
      <c r="P22" s="56">
        <f>N19-P19</f>
        <v>0</v>
      </c>
    </row>
    <row r="23" spans="14:16" ht="12.75">
      <c r="N23" s="22" t="s">
        <v>436</v>
      </c>
      <c r="O23" s="22"/>
      <c r="P23" s="56">
        <f>P19-Q19</f>
        <v>0</v>
      </c>
    </row>
    <row r="26" ht="12.75">
      <c r="A26" s="6" t="s">
        <v>751</v>
      </c>
    </row>
  </sheetData>
  <printOptions gridLines="1"/>
  <pageMargins left="0.25" right="0.25" top="1" bottom="0.55" header="0.5" footer="0.25"/>
  <pageSetup fitToHeight="1" fitToWidth="1" horizontalDpi="300" verticalDpi="300" orientation="landscape" scale="74" r:id="rId1"/>
  <headerFooter alignWithMargins="0">
    <oddFooter>&amp;L&amp;F
&amp;A&amp;CPage &amp;P of &amp;N&amp;R&amp;D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T74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8.00390625" style="0" hidden="1" customWidth="1"/>
    <col min="6" max="7" width="7.57421875" style="0" hidden="1" customWidth="1"/>
    <col min="8" max="8" width="8.00390625" style="0" hidden="1" customWidth="1"/>
    <col min="9" max="11" width="8.00390625" style="0" customWidth="1"/>
    <col min="12" max="12" width="6.8515625" style="0" bestFit="1" customWidth="1"/>
    <col min="13" max="13" width="8.00390625" style="0" bestFit="1" customWidth="1"/>
    <col min="14" max="14" width="10.28125" style="0" customWidth="1"/>
    <col min="16" max="16" width="10.7109375" style="0" bestFit="1" customWidth="1"/>
    <col min="17" max="17" width="10.8515625" style="0" bestFit="1" customWidth="1"/>
    <col min="18" max="18" width="9.421875" style="0" bestFit="1" customWidth="1"/>
    <col min="19" max="19" width="11.7109375" style="0" customWidth="1"/>
  </cols>
  <sheetData>
    <row r="1" spans="1:2" ht="12.75">
      <c r="A1" t="s">
        <v>106</v>
      </c>
      <c r="B1">
        <v>2007</v>
      </c>
    </row>
    <row r="2" ht="12.75">
      <c r="A2" t="s">
        <v>107</v>
      </c>
    </row>
    <row r="3" spans="1:18" ht="12.75">
      <c r="A3" s="6" t="s">
        <v>475</v>
      </c>
      <c r="L3" s="57">
        <v>6</v>
      </c>
      <c r="M3" s="9"/>
      <c r="R3" s="1" t="s">
        <v>438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434</v>
      </c>
      <c r="M4" s="9" t="s">
        <v>457</v>
      </c>
      <c r="N4" s="1"/>
      <c r="O4" s="3" t="s">
        <v>111</v>
      </c>
      <c r="P4" s="3" t="s">
        <v>617</v>
      </c>
      <c r="Q4" s="3" t="s">
        <v>618</v>
      </c>
      <c r="R4" s="1" t="s">
        <v>439</v>
      </c>
    </row>
    <row r="5" spans="3:18" ht="12.75">
      <c r="C5" s="1" t="s">
        <v>425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459</v>
      </c>
      <c r="N5" s="1" t="s">
        <v>354</v>
      </c>
      <c r="O5" s="3" t="s">
        <v>112</v>
      </c>
      <c r="P5" s="3" t="s">
        <v>113</v>
      </c>
      <c r="Q5" s="3" t="s">
        <v>114</v>
      </c>
      <c r="R5" s="1" t="s">
        <v>427</v>
      </c>
    </row>
    <row r="6" spans="1:19" ht="13.5" thickBot="1">
      <c r="A6" t="s">
        <v>118</v>
      </c>
      <c r="C6" s="1">
        <v>1999</v>
      </c>
      <c r="D6" s="62">
        <v>2000</v>
      </c>
      <c r="E6" s="62">
        <v>2001</v>
      </c>
      <c r="F6" s="62">
        <v>2002</v>
      </c>
      <c r="G6" s="62">
        <v>2003</v>
      </c>
      <c r="H6" s="62">
        <v>2004</v>
      </c>
      <c r="I6" s="62">
        <v>2005</v>
      </c>
      <c r="J6" s="62">
        <v>2006</v>
      </c>
      <c r="K6" s="62">
        <v>2007</v>
      </c>
      <c r="L6" s="23">
        <v>2008</v>
      </c>
      <c r="M6" s="23">
        <v>2008</v>
      </c>
      <c r="N6" s="23">
        <v>2008</v>
      </c>
      <c r="O6" s="23">
        <v>2009</v>
      </c>
      <c r="P6" s="23">
        <v>2009</v>
      </c>
      <c r="Q6" s="23">
        <v>2009</v>
      </c>
      <c r="R6" s="23" t="s">
        <v>866</v>
      </c>
      <c r="S6" s="63" t="s">
        <v>115</v>
      </c>
    </row>
    <row r="7" spans="1:18" ht="12.75">
      <c r="A7" t="s">
        <v>684</v>
      </c>
      <c r="B7" s="4">
        <v>51.11</v>
      </c>
      <c r="C7" s="2">
        <v>3396</v>
      </c>
      <c r="D7" s="2">
        <v>7544</v>
      </c>
      <c r="E7" s="2">
        <v>8507</v>
      </c>
      <c r="F7" s="2">
        <v>9025</v>
      </c>
      <c r="G7" s="2">
        <v>9220</v>
      </c>
      <c r="H7" s="2"/>
      <c r="I7" s="2"/>
      <c r="J7" s="2"/>
      <c r="K7" s="2"/>
      <c r="L7" s="2"/>
      <c r="M7" s="2"/>
      <c r="N7" s="2"/>
      <c r="O7" s="2"/>
      <c r="P7" s="2"/>
      <c r="Q7" s="2"/>
      <c r="R7" s="52" t="e">
        <f>(Q7-N7)/N7</f>
        <v>#DIV/0!</v>
      </c>
    </row>
    <row r="8" spans="1:18" ht="12.75">
      <c r="A8" t="s">
        <v>159</v>
      </c>
      <c r="B8" s="4">
        <v>51.21</v>
      </c>
      <c r="C8" s="2">
        <v>1447</v>
      </c>
      <c r="D8" s="2">
        <v>2513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2"/>
    </row>
    <row r="9" spans="1:18" ht="12.75">
      <c r="A9" t="s">
        <v>139</v>
      </c>
      <c r="B9" s="4">
        <v>51.22</v>
      </c>
      <c r="C9" s="2">
        <v>248</v>
      </c>
      <c r="D9" s="2">
        <v>577</v>
      </c>
      <c r="E9" s="2">
        <v>650</v>
      </c>
      <c r="F9" s="2">
        <v>690</v>
      </c>
      <c r="G9" s="2">
        <v>705</v>
      </c>
      <c r="H9" s="2"/>
      <c r="I9" s="2"/>
      <c r="J9" s="2"/>
      <c r="K9" s="2"/>
      <c r="L9" s="2"/>
      <c r="M9" s="2"/>
      <c r="N9" s="2"/>
      <c r="O9" s="2"/>
      <c r="P9" s="2"/>
      <c r="Q9" s="2"/>
      <c r="R9" s="52" t="e">
        <f aca="true" t="shared" si="0" ref="R9:R22">(Q9-N9)/N9</f>
        <v>#DIV/0!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2"/>
    </row>
    <row r="11" spans="1:18" ht="12.75">
      <c r="A11" t="s">
        <v>367</v>
      </c>
      <c r="B11" s="4">
        <v>52.1305</v>
      </c>
      <c r="C11" s="2"/>
      <c r="D11" s="2"/>
      <c r="E11" s="2">
        <v>347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2"/>
    </row>
    <row r="12" spans="1:18" ht="12.75">
      <c r="A12" t="s">
        <v>141</v>
      </c>
      <c r="B12" s="4">
        <v>52.32</v>
      </c>
      <c r="C12" s="2"/>
      <c r="D12" s="2">
        <v>256</v>
      </c>
      <c r="E12" s="2">
        <v>464</v>
      </c>
      <c r="F12" s="2">
        <v>704</v>
      </c>
      <c r="G12" s="2">
        <v>683</v>
      </c>
      <c r="H12" s="2"/>
      <c r="I12" s="2"/>
      <c r="J12" s="2"/>
      <c r="K12" s="2"/>
      <c r="L12" s="2"/>
      <c r="M12" s="2">
        <f aca="true" t="shared" si="1" ref="M12:M18">+L12/$L$3*12</f>
        <v>0</v>
      </c>
      <c r="N12" s="2"/>
      <c r="O12" s="2"/>
      <c r="P12" s="2"/>
      <c r="Q12" s="2"/>
      <c r="R12" s="52" t="e">
        <f t="shared" si="0"/>
        <v>#DIV/0!</v>
      </c>
    </row>
    <row r="13" spans="1:18" ht="12.75">
      <c r="A13" t="s">
        <v>142</v>
      </c>
      <c r="B13" s="4">
        <v>52.321</v>
      </c>
      <c r="C13" s="2">
        <v>270</v>
      </c>
      <c r="D13" s="2">
        <v>211</v>
      </c>
      <c r="E13" s="2">
        <v>169</v>
      </c>
      <c r="F13" s="2">
        <v>285</v>
      </c>
      <c r="G13" s="2">
        <v>297</v>
      </c>
      <c r="H13" s="2"/>
      <c r="I13" s="2"/>
      <c r="J13" s="2"/>
      <c r="K13" s="2"/>
      <c r="L13" s="2"/>
      <c r="M13" s="2">
        <f t="shared" si="1"/>
        <v>0</v>
      </c>
      <c r="N13" s="2"/>
      <c r="O13" s="2"/>
      <c r="P13" s="2"/>
      <c r="Q13" s="2"/>
      <c r="R13" s="52" t="e">
        <f t="shared" si="0"/>
        <v>#DIV/0!</v>
      </c>
    </row>
    <row r="14" spans="1:18" ht="12.75">
      <c r="A14" t="s">
        <v>143</v>
      </c>
      <c r="B14" s="4">
        <v>52.35</v>
      </c>
      <c r="C14" s="2">
        <v>440</v>
      </c>
      <c r="D14" s="2">
        <v>125</v>
      </c>
      <c r="E14" s="2"/>
      <c r="F14" s="2">
        <v>60</v>
      </c>
      <c r="G14" s="2">
        <v>30</v>
      </c>
      <c r="H14" s="2"/>
      <c r="I14" s="2"/>
      <c r="J14" s="2"/>
      <c r="K14" s="2"/>
      <c r="L14" s="2"/>
      <c r="M14" s="2">
        <f t="shared" si="1"/>
        <v>0</v>
      </c>
      <c r="N14" s="2"/>
      <c r="O14" s="2"/>
      <c r="P14" s="2"/>
      <c r="Q14" s="2"/>
      <c r="R14" s="52" t="e">
        <f t="shared" si="0"/>
        <v>#DIV/0!</v>
      </c>
    </row>
    <row r="15" spans="1:18" ht="12.75">
      <c r="A15" t="s">
        <v>263</v>
      </c>
      <c r="B15" s="4">
        <v>52.3602</v>
      </c>
      <c r="C15" s="2">
        <v>65</v>
      </c>
      <c r="D15" s="2">
        <v>215</v>
      </c>
      <c r="E15" s="2">
        <v>200</v>
      </c>
      <c r="F15" s="2">
        <v>200</v>
      </c>
      <c r="G15" s="2">
        <v>200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52" t="e">
        <f t="shared" si="0"/>
        <v>#DIV/0!</v>
      </c>
    </row>
    <row r="16" spans="1:18" ht="12.75">
      <c r="A16" t="s">
        <v>264</v>
      </c>
      <c r="B16" s="4">
        <v>53.133</v>
      </c>
      <c r="C16" s="2"/>
      <c r="D16" s="2"/>
      <c r="E16" s="2">
        <v>191</v>
      </c>
      <c r="F16" s="2">
        <v>330</v>
      </c>
      <c r="G16" s="2">
        <v>222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52" t="e">
        <f t="shared" si="0"/>
        <v>#DIV/0!</v>
      </c>
    </row>
    <row r="17" spans="1:18" ht="12.75">
      <c r="A17" t="s">
        <v>265</v>
      </c>
      <c r="B17" s="4">
        <v>53.171</v>
      </c>
      <c r="C17" s="2">
        <v>-683</v>
      </c>
      <c r="D17" s="2">
        <v>610</v>
      </c>
      <c r="E17" s="2">
        <v>616</v>
      </c>
      <c r="F17" s="2">
        <v>681</v>
      </c>
      <c r="G17" s="2">
        <v>569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52" t="e">
        <f t="shared" si="0"/>
        <v>#DIV/0!</v>
      </c>
    </row>
    <row r="18" spans="1:18" ht="12.75">
      <c r="A18" t="s">
        <v>266</v>
      </c>
      <c r="B18" s="4">
        <v>53.1711</v>
      </c>
      <c r="C18" s="2">
        <v>629</v>
      </c>
      <c r="D18" s="2">
        <v>620</v>
      </c>
      <c r="E18" s="2">
        <v>1698</v>
      </c>
      <c r="F18" s="2">
        <v>1183</v>
      </c>
      <c r="G18" s="2">
        <v>1176</v>
      </c>
      <c r="H18" s="2"/>
      <c r="I18" s="2"/>
      <c r="J18" s="2"/>
      <c r="K18" s="2"/>
      <c r="L18" s="2"/>
      <c r="M18" s="2">
        <f t="shared" si="1"/>
        <v>0</v>
      </c>
      <c r="N18" s="2"/>
      <c r="O18" s="2"/>
      <c r="P18" s="2"/>
      <c r="Q18" s="2"/>
      <c r="R18" s="52" t="e">
        <f t="shared" si="0"/>
        <v>#DIV/0!</v>
      </c>
    </row>
    <row r="19" spans="1:18" ht="12.75">
      <c r="A19" t="s">
        <v>267</v>
      </c>
      <c r="B19" s="4">
        <v>53.1721</v>
      </c>
      <c r="C19" s="2"/>
      <c r="D19" s="2"/>
      <c r="E19" s="2"/>
      <c r="F19" s="2">
        <v>294</v>
      </c>
      <c r="G19" s="2">
        <v>287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52" t="e">
        <f t="shared" si="0"/>
        <v>#DIV/0!</v>
      </c>
    </row>
    <row r="20" spans="2:20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2"/>
      <c r="T20" t="s">
        <v>683</v>
      </c>
    </row>
    <row r="21" spans="2:18" ht="12.7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2"/>
    </row>
    <row r="22" spans="1:18" ht="12.75">
      <c r="A22" s="6" t="s">
        <v>116</v>
      </c>
      <c r="B22" s="6"/>
      <c r="C22" s="7">
        <f>SUM(C7:C20)</f>
        <v>5812</v>
      </c>
      <c r="D22" s="8">
        <f>SUM(D7:D20)</f>
        <v>12671</v>
      </c>
      <c r="E22" s="8">
        <f aca="true" t="shared" si="2" ref="E22:Q22">SUM(E7:E21)</f>
        <v>12842</v>
      </c>
      <c r="F22" s="8">
        <f t="shared" si="2"/>
        <v>13452</v>
      </c>
      <c r="G22" s="8">
        <f t="shared" si="2"/>
        <v>13389</v>
      </c>
      <c r="H22" s="8">
        <f>SUM(H7:H21)</f>
        <v>0</v>
      </c>
      <c r="I22" s="8">
        <f>SUM(I7:I21)</f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8">
        <f t="shared" si="2"/>
        <v>0</v>
      </c>
      <c r="Q22" s="8">
        <f t="shared" si="2"/>
        <v>0</v>
      </c>
      <c r="R22" s="52" t="e">
        <f t="shared" si="0"/>
        <v>#DIV/0!</v>
      </c>
    </row>
    <row r="23" ht="12.75">
      <c r="R23" s="52"/>
    </row>
    <row r="24" spans="1:18" ht="12.75">
      <c r="A24" t="s">
        <v>340</v>
      </c>
      <c r="B24">
        <v>0</v>
      </c>
      <c r="N24" s="22" t="s">
        <v>488</v>
      </c>
      <c r="O24" s="22"/>
      <c r="P24" s="56">
        <f>O22-P22</f>
        <v>0</v>
      </c>
      <c r="R24" s="52"/>
    </row>
    <row r="25" spans="14:18" ht="12.75">
      <c r="N25" s="22" t="s">
        <v>761</v>
      </c>
      <c r="O25" s="22"/>
      <c r="P25" s="56">
        <f>N22-P22</f>
        <v>0</v>
      </c>
      <c r="R25" s="52"/>
    </row>
    <row r="26" spans="14:18" ht="12.75">
      <c r="N26" s="22" t="s">
        <v>436</v>
      </c>
      <c r="O26" s="22"/>
      <c r="P26" s="56">
        <f>P22-Q22</f>
        <v>0</v>
      </c>
      <c r="R26" s="52"/>
    </row>
    <row r="27" ht="12.75">
      <c r="R27" s="52"/>
    </row>
    <row r="28" ht="12.75">
      <c r="R28" s="52"/>
    </row>
    <row r="29" spans="1:18" ht="12.75">
      <c r="A29" s="6"/>
      <c r="R29" s="52"/>
    </row>
    <row r="30" ht="12.75">
      <c r="R30" s="52"/>
    </row>
    <row r="31" spans="1:18" ht="12.75">
      <c r="A31" s="6" t="s">
        <v>751</v>
      </c>
      <c r="R31" s="52"/>
    </row>
    <row r="32" ht="12.75">
      <c r="R32" s="52"/>
    </row>
    <row r="33" ht="12.75">
      <c r="R33" s="52"/>
    </row>
    <row r="34" ht="12.75">
      <c r="R34" s="52"/>
    </row>
    <row r="35" ht="12.75">
      <c r="R35" s="52"/>
    </row>
    <row r="36" ht="12.75">
      <c r="R36" s="52"/>
    </row>
    <row r="37" ht="12.75">
      <c r="R37" s="52"/>
    </row>
    <row r="38" ht="12.75">
      <c r="R38" s="52"/>
    </row>
    <row r="39" ht="12.75">
      <c r="R39" s="52"/>
    </row>
    <row r="40" ht="12.75">
      <c r="R40" s="52"/>
    </row>
    <row r="41" ht="12.75">
      <c r="R41" s="52"/>
    </row>
    <row r="42" ht="12.75">
      <c r="R42" s="52"/>
    </row>
    <row r="43" ht="12.75">
      <c r="R43" s="52"/>
    </row>
    <row r="44" ht="12.75">
      <c r="R44" s="52"/>
    </row>
    <row r="66" ht="12.75">
      <c r="R66" s="2"/>
    </row>
    <row r="67" ht="12.75">
      <c r="R67" s="2"/>
    </row>
    <row r="68" ht="12.75">
      <c r="R68" s="2"/>
    </row>
    <row r="69" spans="3:18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</sheetData>
  <printOptions gridLines="1"/>
  <pageMargins left="0.25" right="0.25" top="1" bottom="0.55" header="0.5" footer="0.25"/>
  <pageSetup fitToHeight="1" fitToWidth="1" horizontalDpi="300" verticalDpi="300" orientation="landscape" scale="90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95"/>
  <sheetViews>
    <sheetView zoomScale="75" zoomScaleNormal="75" workbookViewId="0" topLeftCell="A1">
      <selection activeCell="R18" sqref="R18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6" width="8.00390625" style="0" hidden="1" customWidth="1"/>
    <col min="7" max="9" width="7.57421875" style="0" hidden="1" customWidth="1"/>
    <col min="10" max="12" width="7.57421875" style="0" customWidth="1"/>
    <col min="13" max="13" width="7.57421875" style="0" bestFit="1" customWidth="1"/>
    <col min="14" max="14" width="8.00390625" style="0" bestFit="1" customWidth="1"/>
    <col min="15" max="15" width="11.57421875" style="0" customWidth="1"/>
    <col min="16" max="16" width="8.00390625" style="0" bestFit="1" customWidth="1"/>
    <col min="17" max="17" width="9.28125" style="0" bestFit="1" customWidth="1"/>
    <col min="19" max="19" width="10.42187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s="22" customFormat="1" ht="12.75">
      <c r="A3" s="6" t="s">
        <v>418</v>
      </c>
      <c r="F3" s="26"/>
      <c r="G3" s="26"/>
      <c r="H3" s="26"/>
      <c r="I3" s="26"/>
      <c r="J3" s="26"/>
      <c r="K3" s="26"/>
      <c r="L3" s="26"/>
      <c r="M3" s="51">
        <v>6</v>
      </c>
      <c r="S3" s="26" t="s">
        <v>354</v>
      </c>
    </row>
    <row r="4" spans="3:19" s="22" customFormat="1" ht="12.75">
      <c r="C4" s="26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434</v>
      </c>
      <c r="O4" s="26"/>
      <c r="P4" s="26" t="s">
        <v>429</v>
      </c>
      <c r="Q4" s="26" t="s">
        <v>431</v>
      </c>
      <c r="R4" s="26" t="s">
        <v>432</v>
      </c>
      <c r="S4" s="26" t="s">
        <v>426</v>
      </c>
    </row>
    <row r="5" spans="3:19" s="22" customFormat="1" ht="12.75">
      <c r="C5" s="26" t="s">
        <v>109</v>
      </c>
      <c r="D5" s="26" t="s">
        <v>425</v>
      </c>
      <c r="E5" s="26" t="s">
        <v>425</v>
      </c>
      <c r="F5" s="26" t="s">
        <v>425</v>
      </c>
      <c r="G5" s="26" t="s">
        <v>425</v>
      </c>
      <c r="H5" s="26" t="s">
        <v>425</v>
      </c>
      <c r="I5" s="26" t="s">
        <v>425</v>
      </c>
      <c r="J5" s="26" t="s">
        <v>425</v>
      </c>
      <c r="K5" s="26" t="s">
        <v>425</v>
      </c>
      <c r="L5" s="26" t="s">
        <v>425</v>
      </c>
      <c r="M5" s="26" t="s">
        <v>425</v>
      </c>
      <c r="N5" s="26" t="s">
        <v>435</v>
      </c>
      <c r="O5" s="26" t="s">
        <v>354</v>
      </c>
      <c r="P5" s="26" t="s">
        <v>430</v>
      </c>
      <c r="Q5" s="26" t="s">
        <v>691</v>
      </c>
      <c r="R5" s="26" t="s">
        <v>421</v>
      </c>
      <c r="S5" s="26" t="s">
        <v>427</v>
      </c>
    </row>
    <row r="6" spans="1:20" s="22" customFormat="1" ht="12.75">
      <c r="A6" s="22" t="s">
        <v>118</v>
      </c>
      <c r="C6" s="26">
        <v>1999</v>
      </c>
      <c r="D6" s="23">
        <v>2000</v>
      </c>
      <c r="E6" s="23">
        <v>2001</v>
      </c>
      <c r="F6" s="23">
        <v>2002</v>
      </c>
      <c r="G6" s="23">
        <v>2003</v>
      </c>
      <c r="H6" s="23">
        <v>2004</v>
      </c>
      <c r="I6" s="23">
        <v>2005</v>
      </c>
      <c r="J6" s="23">
        <v>2006</v>
      </c>
      <c r="K6" s="23">
        <v>2007</v>
      </c>
      <c r="L6" s="23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26" t="s">
        <v>115</v>
      </c>
    </row>
    <row r="7" spans="1:19" ht="12.75" hidden="1">
      <c r="A7" s="22" t="s">
        <v>686</v>
      </c>
      <c r="B7" s="4">
        <v>51.11</v>
      </c>
      <c r="C7" s="2">
        <v>10691</v>
      </c>
      <c r="D7" s="2">
        <v>12450</v>
      </c>
      <c r="E7" s="2">
        <v>7862</v>
      </c>
      <c r="F7" s="2">
        <v>640</v>
      </c>
      <c r="G7" s="2">
        <v>226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 hidden="1">
      <c r="A8" t="s">
        <v>139</v>
      </c>
      <c r="B8" s="4">
        <v>51.22</v>
      </c>
      <c r="C8" s="2"/>
      <c r="D8" s="2">
        <v>100</v>
      </c>
      <c r="E8" s="2"/>
      <c r="F8" s="2">
        <v>79</v>
      </c>
      <c r="G8" s="2"/>
      <c r="H8" s="2"/>
      <c r="I8" s="2"/>
      <c r="J8" s="2"/>
      <c r="K8" s="2"/>
      <c r="L8" s="2"/>
      <c r="M8" s="2"/>
      <c r="N8" s="2"/>
      <c r="O8" s="2">
        <v>0</v>
      </c>
      <c r="P8" s="2"/>
      <c r="Q8" s="2"/>
      <c r="R8" s="2"/>
      <c r="S8" s="76"/>
    </row>
    <row r="9" spans="2:19" s="22" customFormat="1" ht="12.75" hidden="1">
      <c r="B9" s="4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95"/>
    </row>
    <row r="10" spans="1:19" ht="12.75">
      <c r="A10" t="s">
        <v>157</v>
      </c>
      <c r="B10" s="4">
        <v>52.12</v>
      </c>
      <c r="C10" s="2"/>
      <c r="D10" s="2"/>
      <c r="E10" s="2"/>
      <c r="F10" s="2">
        <v>401</v>
      </c>
      <c r="G10" s="2"/>
      <c r="H10" s="2"/>
      <c r="I10" s="2">
        <v>4952</v>
      </c>
      <c r="J10" s="2">
        <v>1201</v>
      </c>
      <c r="K10" s="2"/>
      <c r="L10" s="2"/>
      <c r="M10" s="2"/>
      <c r="N10" s="31">
        <f>(12/$M$3)*M10</f>
        <v>0</v>
      </c>
      <c r="S10" s="95"/>
    </row>
    <row r="11" spans="1:19" ht="12.75">
      <c r="A11" s="22" t="s">
        <v>206</v>
      </c>
      <c r="B11" s="4">
        <v>52.121</v>
      </c>
      <c r="C11" s="2"/>
      <c r="D11" s="2"/>
      <c r="E11" s="2"/>
      <c r="F11" s="2"/>
      <c r="G11" s="2"/>
      <c r="H11" s="2"/>
      <c r="I11" s="2"/>
      <c r="J11" s="2"/>
      <c r="K11" s="2"/>
      <c r="L11" s="2">
        <v>170</v>
      </c>
      <c r="M11" s="2"/>
      <c r="N11" s="31"/>
      <c r="S11" s="95"/>
    </row>
    <row r="12" spans="1:20" ht="12.75">
      <c r="A12" t="s">
        <v>140</v>
      </c>
      <c r="B12" s="4">
        <v>52.1314</v>
      </c>
      <c r="C12" s="2">
        <v>3324</v>
      </c>
      <c r="D12" s="2">
        <v>2587</v>
      </c>
      <c r="E12" s="2">
        <v>1977</v>
      </c>
      <c r="F12" s="2">
        <v>2441</v>
      </c>
      <c r="G12" s="2"/>
      <c r="H12" s="2">
        <v>2254</v>
      </c>
      <c r="I12" s="2"/>
      <c r="J12" s="2">
        <v>11406</v>
      </c>
      <c r="K12" s="2">
        <v>620</v>
      </c>
      <c r="L12" s="2"/>
      <c r="M12" s="2"/>
      <c r="N12" s="31"/>
      <c r="O12" s="2"/>
      <c r="P12" s="2"/>
      <c r="Q12" s="2"/>
      <c r="R12" s="2"/>
      <c r="S12" s="95" t="e">
        <f>(R12-O12)/O12</f>
        <v>#DIV/0!</v>
      </c>
      <c r="T12" t="s">
        <v>376</v>
      </c>
    </row>
    <row r="13" spans="1:19" ht="12.75" hidden="1">
      <c r="A13" t="s">
        <v>268</v>
      </c>
      <c r="B13" s="4">
        <v>52.2206</v>
      </c>
      <c r="C13" s="2"/>
      <c r="D13" s="2"/>
      <c r="E13" s="2"/>
      <c r="F13" s="2">
        <v>1220</v>
      </c>
      <c r="G13" s="2"/>
      <c r="H13" s="2"/>
      <c r="I13" s="2"/>
      <c r="J13" s="2"/>
      <c r="K13" s="2"/>
      <c r="L13" s="2"/>
      <c r="M13" s="2"/>
      <c r="N13" s="31"/>
      <c r="P13" s="2"/>
      <c r="S13" s="95"/>
    </row>
    <row r="14" spans="1:19" ht="12.75">
      <c r="A14" t="s">
        <v>795</v>
      </c>
      <c r="B14" s="4">
        <v>53.1611</v>
      </c>
      <c r="C14" s="2"/>
      <c r="D14" s="2"/>
      <c r="E14" s="2"/>
      <c r="F14" s="2"/>
      <c r="G14" s="2"/>
      <c r="H14" s="2"/>
      <c r="I14" s="2"/>
      <c r="J14" s="2"/>
      <c r="K14" s="2"/>
      <c r="L14" s="2">
        <v>5025</v>
      </c>
      <c r="M14" s="2"/>
      <c r="N14" s="31"/>
      <c r="P14" s="2"/>
      <c r="S14" s="95"/>
    </row>
    <row r="15" spans="1:19" ht="12.75">
      <c r="A15" t="s">
        <v>139</v>
      </c>
      <c r="B15" s="4">
        <v>51.22</v>
      </c>
      <c r="C15" s="2"/>
      <c r="D15" s="2"/>
      <c r="E15" s="2"/>
      <c r="F15" s="2"/>
      <c r="G15" s="2"/>
      <c r="H15" s="2"/>
      <c r="I15" s="2"/>
      <c r="J15" s="2"/>
      <c r="K15" s="2">
        <v>44</v>
      </c>
      <c r="L15" s="2"/>
      <c r="M15" s="2"/>
      <c r="N15" s="31"/>
      <c r="P15" s="2"/>
      <c r="S15" s="95"/>
    </row>
    <row r="16" spans="1:19" ht="12.75">
      <c r="A16" t="s">
        <v>141</v>
      </c>
      <c r="B16" s="4">
        <v>52.32</v>
      </c>
      <c r="C16" s="2"/>
      <c r="D16" s="2"/>
      <c r="E16" s="2"/>
      <c r="F16" s="2">
        <v>1</v>
      </c>
      <c r="G16" s="2"/>
      <c r="H16" s="2"/>
      <c r="I16" s="2">
        <v>9</v>
      </c>
      <c r="J16" s="2"/>
      <c r="K16" s="2"/>
      <c r="L16" s="2"/>
      <c r="M16" s="2"/>
      <c r="N16" s="31"/>
      <c r="P16" s="2"/>
      <c r="S16" s="95"/>
    </row>
    <row r="17" spans="1:19" ht="12.75">
      <c r="A17" t="s">
        <v>142</v>
      </c>
      <c r="B17" s="4">
        <v>52.321</v>
      </c>
      <c r="C17" s="2"/>
      <c r="D17" s="2">
        <v>132</v>
      </c>
      <c r="E17" s="2">
        <v>99</v>
      </c>
      <c r="F17" s="2">
        <v>165</v>
      </c>
      <c r="G17" s="2">
        <v>111</v>
      </c>
      <c r="H17" s="2">
        <v>74</v>
      </c>
      <c r="I17" s="2">
        <v>93</v>
      </c>
      <c r="J17" s="2">
        <v>117</v>
      </c>
      <c r="K17" s="2">
        <v>162</v>
      </c>
      <c r="L17" s="2">
        <f>216+1128</f>
        <v>1344</v>
      </c>
      <c r="M17" s="2">
        <v>126</v>
      </c>
      <c r="N17" s="31">
        <v>126</v>
      </c>
      <c r="O17" s="2">
        <v>120</v>
      </c>
      <c r="P17" s="2">
        <v>120</v>
      </c>
      <c r="Q17" s="2">
        <v>120</v>
      </c>
      <c r="R17" s="2">
        <v>120</v>
      </c>
      <c r="S17" s="95">
        <f>(R17-O17)/O17</f>
        <v>0</v>
      </c>
    </row>
    <row r="18" spans="1:20" ht="12.75">
      <c r="A18" t="s">
        <v>143</v>
      </c>
      <c r="B18" s="4">
        <v>52.35</v>
      </c>
      <c r="C18" s="2">
        <v>1060</v>
      </c>
      <c r="D18" s="2">
        <v>50</v>
      </c>
      <c r="E18" s="2">
        <v>577</v>
      </c>
      <c r="F18" s="2">
        <v>800</v>
      </c>
      <c r="G18" s="2">
        <v>523</v>
      </c>
      <c r="H18" s="2">
        <v>891</v>
      </c>
      <c r="I18" s="2">
        <v>809</v>
      </c>
      <c r="J18" s="2">
        <v>791</v>
      </c>
      <c r="K18" s="2">
        <v>1235</v>
      </c>
      <c r="L18" s="2">
        <v>1528</v>
      </c>
      <c r="M18" s="2">
        <v>0</v>
      </c>
      <c r="N18" s="31">
        <v>0</v>
      </c>
      <c r="O18" s="2">
        <v>1200</v>
      </c>
      <c r="P18" s="2">
        <v>1600</v>
      </c>
      <c r="Q18" s="2">
        <v>1600</v>
      </c>
      <c r="R18" s="20">
        <v>1300</v>
      </c>
      <c r="S18" s="95">
        <f>(R18-O18)/O18</f>
        <v>0.08333333333333333</v>
      </c>
      <c r="T18" s="6"/>
    </row>
    <row r="19" spans="1:19" ht="12.75">
      <c r="A19" t="s">
        <v>144</v>
      </c>
      <c r="B19" s="4">
        <v>52.3602</v>
      </c>
      <c r="C19" s="2">
        <v>35</v>
      </c>
      <c r="D19" s="2">
        <v>25</v>
      </c>
      <c r="E19" s="2">
        <v>25</v>
      </c>
      <c r="F19" s="2">
        <v>20</v>
      </c>
      <c r="G19" s="2">
        <v>20</v>
      </c>
      <c r="H19" s="2">
        <v>20</v>
      </c>
      <c r="I19" s="2">
        <v>20</v>
      </c>
      <c r="J19" s="2">
        <v>20</v>
      </c>
      <c r="K19" s="2">
        <v>20</v>
      </c>
      <c r="L19" s="2">
        <v>30</v>
      </c>
      <c r="M19" s="2">
        <v>30</v>
      </c>
      <c r="N19" s="31">
        <v>30</v>
      </c>
      <c r="O19" s="2">
        <v>20</v>
      </c>
      <c r="P19" s="2">
        <v>30</v>
      </c>
      <c r="Q19" s="2">
        <v>30</v>
      </c>
      <c r="R19" s="2">
        <v>30</v>
      </c>
      <c r="S19" s="95">
        <f>(R19-O19)/O19</f>
        <v>0.5</v>
      </c>
    </row>
    <row r="20" spans="1:19" ht="12.75">
      <c r="A20" t="s">
        <v>145</v>
      </c>
      <c r="B20" s="4">
        <v>52.37</v>
      </c>
      <c r="C20" s="2"/>
      <c r="D20" s="2"/>
      <c r="E20" s="2">
        <v>230</v>
      </c>
      <c r="F20" s="2">
        <v>230</v>
      </c>
      <c r="G20" s="2">
        <v>250</v>
      </c>
      <c r="H20" s="2">
        <v>250</v>
      </c>
      <c r="I20" s="2"/>
      <c r="J20" s="2"/>
      <c r="K20" s="2">
        <v>295</v>
      </c>
      <c r="L20" s="2">
        <v>855</v>
      </c>
      <c r="M20" s="2">
        <v>900</v>
      </c>
      <c r="N20" s="31">
        <v>900</v>
      </c>
      <c r="O20" s="2">
        <v>915</v>
      </c>
      <c r="P20" s="2">
        <v>915</v>
      </c>
      <c r="Q20" s="2">
        <v>915</v>
      </c>
      <c r="R20" s="2">
        <v>915</v>
      </c>
      <c r="S20" s="95"/>
    </row>
    <row r="21" spans="1:19" ht="12.75">
      <c r="A21" t="s">
        <v>489</v>
      </c>
      <c r="B21" s="4">
        <v>52.385</v>
      </c>
      <c r="C21" s="2"/>
      <c r="D21" s="2"/>
      <c r="E21" s="2"/>
      <c r="F21" s="2">
        <v>390</v>
      </c>
      <c r="G21" s="2">
        <v>3057</v>
      </c>
      <c r="H21" s="2">
        <v>105</v>
      </c>
      <c r="I21" s="2">
        <v>154</v>
      </c>
      <c r="J21" s="2">
        <v>112</v>
      </c>
      <c r="K21" s="2"/>
      <c r="L21" s="2">
        <v>0</v>
      </c>
      <c r="M21" s="2">
        <v>0</v>
      </c>
      <c r="N21" s="31">
        <v>0</v>
      </c>
      <c r="O21" s="20">
        <v>200</v>
      </c>
      <c r="P21" s="2"/>
      <c r="Q21" s="20"/>
      <c r="R21" s="20"/>
      <c r="S21" s="95"/>
    </row>
    <row r="22" spans="1:20" ht="12.75">
      <c r="A22" t="s">
        <v>146</v>
      </c>
      <c r="B22" s="4">
        <v>52.3854</v>
      </c>
      <c r="C22" s="2">
        <v>10691</v>
      </c>
      <c r="D22" s="2">
        <v>12450</v>
      </c>
      <c r="E22" s="2"/>
      <c r="F22" s="2">
        <v>9055</v>
      </c>
      <c r="G22" s="2">
        <v>8965</v>
      </c>
      <c r="H22" s="2">
        <v>17297</v>
      </c>
      <c r="I22" s="2">
        <v>10668</v>
      </c>
      <c r="J22" s="2">
        <v>12232</v>
      </c>
      <c r="K22" s="2">
        <v>16255</v>
      </c>
      <c r="L22" s="2">
        <v>14954</v>
      </c>
      <c r="M22" s="2">
        <v>12808.87</v>
      </c>
      <c r="N22" s="31">
        <v>12808.87</v>
      </c>
      <c r="O22" s="2">
        <v>10300</v>
      </c>
      <c r="P22" s="2">
        <v>13800</v>
      </c>
      <c r="Q22" s="2">
        <v>9825</v>
      </c>
      <c r="R22" s="2">
        <v>9825</v>
      </c>
      <c r="S22" s="95">
        <f>(R22-O22)/O22</f>
        <v>-0.04611650485436893</v>
      </c>
      <c r="T22" t="s">
        <v>514</v>
      </c>
    </row>
    <row r="23" spans="1:20" ht="12.75">
      <c r="A23" t="s">
        <v>147</v>
      </c>
      <c r="B23" s="4">
        <v>52.39</v>
      </c>
      <c r="C23" s="2"/>
      <c r="D23" s="2"/>
      <c r="E23" s="2">
        <v>634</v>
      </c>
      <c r="F23" s="2"/>
      <c r="G23" s="2">
        <v>462</v>
      </c>
      <c r="H23" s="2">
        <v>225</v>
      </c>
      <c r="I23" s="2">
        <v>200</v>
      </c>
      <c r="J23" s="2">
        <v>300</v>
      </c>
      <c r="K23" s="2">
        <v>2400</v>
      </c>
      <c r="L23" s="2">
        <v>2560</v>
      </c>
      <c r="M23" s="2">
        <v>1700</v>
      </c>
      <c r="N23" s="31">
        <v>1700</v>
      </c>
      <c r="O23" s="2">
        <v>1700</v>
      </c>
      <c r="P23" s="2">
        <v>2000</v>
      </c>
      <c r="Q23" s="2">
        <v>1000</v>
      </c>
      <c r="R23" s="2">
        <v>1000</v>
      </c>
      <c r="S23" s="95">
        <f>(R23-O23)/O23</f>
        <v>-0.4117647058823529</v>
      </c>
      <c r="T23" t="s">
        <v>514</v>
      </c>
    </row>
    <row r="24" spans="2:19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1"/>
      <c r="S24" s="95"/>
    </row>
    <row r="25" spans="1:19" ht="12.75">
      <c r="A25" t="s">
        <v>148</v>
      </c>
      <c r="B25" s="4">
        <v>53.12</v>
      </c>
      <c r="C25" s="2">
        <v>360</v>
      </c>
      <c r="D25" s="2"/>
      <c r="E25" s="2">
        <v>1543</v>
      </c>
      <c r="F25" s="2">
        <v>6247</v>
      </c>
      <c r="G25" s="2">
        <v>7345</v>
      </c>
      <c r="H25" s="2">
        <v>5930</v>
      </c>
      <c r="I25" s="2">
        <v>292</v>
      </c>
      <c r="J25" s="2">
        <v>276</v>
      </c>
      <c r="K25" s="2">
        <v>228</v>
      </c>
      <c r="L25" s="2">
        <v>0</v>
      </c>
      <c r="M25" s="2"/>
      <c r="N25" s="31"/>
      <c r="O25" s="2"/>
      <c r="P25" s="2"/>
      <c r="Q25" s="2"/>
      <c r="R25" s="2"/>
      <c r="S25" s="95" t="e">
        <f>(R25-O25)/O25</f>
        <v>#DIV/0!</v>
      </c>
    </row>
    <row r="26" spans="1:19" ht="12.75">
      <c r="A26" t="s">
        <v>370</v>
      </c>
      <c r="B26" s="4">
        <v>53.1704</v>
      </c>
      <c r="C26" s="2"/>
      <c r="D26" s="2"/>
      <c r="E26" s="2"/>
      <c r="F26" s="2"/>
      <c r="G26" s="2">
        <v>494</v>
      </c>
      <c r="H26" s="2">
        <v>128</v>
      </c>
      <c r="I26" s="2"/>
      <c r="J26" s="2">
        <v>2579</v>
      </c>
      <c r="K26" s="2">
        <v>290</v>
      </c>
      <c r="L26" s="2"/>
      <c r="M26" s="2"/>
      <c r="N26" s="31"/>
      <c r="O26" s="2"/>
      <c r="P26" s="2"/>
      <c r="Q26" s="2"/>
      <c r="R26" s="2"/>
      <c r="S26" s="95"/>
    </row>
    <row r="27" spans="1:19" ht="12.75" hidden="1">
      <c r="A27" t="s">
        <v>369</v>
      </c>
      <c r="B27" s="4">
        <v>53.123</v>
      </c>
      <c r="C27" s="2"/>
      <c r="D27" s="2">
        <v>6411</v>
      </c>
      <c r="E27" s="2">
        <v>5514</v>
      </c>
      <c r="F27" s="2"/>
      <c r="G27" s="2"/>
      <c r="H27" s="2"/>
      <c r="I27" s="2"/>
      <c r="J27" s="2"/>
      <c r="K27" s="2"/>
      <c r="L27" s="2"/>
      <c r="M27" s="2"/>
      <c r="N27" s="31"/>
      <c r="S27" s="95"/>
    </row>
    <row r="28" spans="1:19" ht="12.75">
      <c r="A28" t="s">
        <v>149</v>
      </c>
      <c r="B28" s="4">
        <v>53.171</v>
      </c>
      <c r="C28" s="2">
        <v>1981</v>
      </c>
      <c r="D28" s="2">
        <v>4544</v>
      </c>
      <c r="E28" s="2">
        <v>3490</v>
      </c>
      <c r="F28" s="2">
        <v>6334</v>
      </c>
      <c r="G28" s="2">
        <v>4205</v>
      </c>
      <c r="H28" s="2">
        <v>441</v>
      </c>
      <c r="I28" s="2">
        <v>337</v>
      </c>
      <c r="J28" s="2">
        <v>573</v>
      </c>
      <c r="K28" s="2">
        <v>2544</v>
      </c>
      <c r="L28" s="2">
        <f>3669+100</f>
        <v>3769</v>
      </c>
      <c r="M28" s="2">
        <v>2262.08</v>
      </c>
      <c r="N28" s="31">
        <v>2262.08</v>
      </c>
      <c r="O28" s="2">
        <v>5500</v>
      </c>
      <c r="P28" s="2">
        <v>3212</v>
      </c>
      <c r="Q28" s="2">
        <v>3200</v>
      </c>
      <c r="R28" s="2">
        <v>3200</v>
      </c>
      <c r="S28" s="95">
        <f>(R28-O28)/O28</f>
        <v>-0.41818181818181815</v>
      </c>
    </row>
    <row r="29" spans="1:19" ht="12.75">
      <c r="A29" t="s">
        <v>150</v>
      </c>
      <c r="B29" s="4">
        <v>53.172</v>
      </c>
      <c r="C29" s="2">
        <v>480</v>
      </c>
      <c r="D29" s="2"/>
      <c r="E29" s="2"/>
      <c r="F29" s="2">
        <v>680</v>
      </c>
      <c r="G29" s="2">
        <v>158</v>
      </c>
      <c r="H29" s="2"/>
      <c r="I29" s="2">
        <v>300</v>
      </c>
      <c r="J29" s="2">
        <v>347</v>
      </c>
      <c r="K29" s="2">
        <v>62</v>
      </c>
      <c r="L29" s="2"/>
      <c r="M29" s="2"/>
      <c r="N29" s="31"/>
      <c r="O29" s="2"/>
      <c r="P29" s="2"/>
      <c r="Q29" s="2"/>
      <c r="R29" s="2"/>
      <c r="S29" s="95" t="e">
        <f>(R29-O29)/O29</f>
        <v>#DIV/0!</v>
      </c>
    </row>
    <row r="30" spans="2:19" ht="12.75">
      <c r="B30" s="4">
        <v>53.1704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1"/>
      <c r="O30" s="2"/>
      <c r="P30" s="2"/>
      <c r="Q30" s="2"/>
      <c r="R30" s="2"/>
      <c r="S30" s="95"/>
    </row>
    <row r="31" spans="1:19" ht="12.75">
      <c r="A31" t="s">
        <v>562</v>
      </c>
      <c r="I31">
        <v>406</v>
      </c>
      <c r="N31" s="31">
        <f>(12/$M$3)*M31</f>
        <v>0</v>
      </c>
      <c r="O31" s="2"/>
      <c r="Q31" s="2"/>
      <c r="R31" s="2"/>
      <c r="S31" s="95"/>
    </row>
    <row r="32" spans="1:19" s="22" customFormat="1" ht="12.75">
      <c r="A32" s="46" t="s">
        <v>116</v>
      </c>
      <c r="B32" s="46"/>
      <c r="C32" s="47">
        <f aca="true" t="shared" si="0" ref="C32:R32">SUM(C7:C31)</f>
        <v>28622</v>
      </c>
      <c r="D32" s="47">
        <f t="shared" si="0"/>
        <v>38749</v>
      </c>
      <c r="E32" s="47">
        <f t="shared" si="0"/>
        <v>21951</v>
      </c>
      <c r="F32" s="47">
        <f t="shared" si="0"/>
        <v>28703</v>
      </c>
      <c r="G32" s="47">
        <f t="shared" si="0"/>
        <v>25816</v>
      </c>
      <c r="H32" s="47">
        <f t="shared" si="0"/>
        <v>27615</v>
      </c>
      <c r="I32" s="47">
        <f t="shared" si="0"/>
        <v>18240</v>
      </c>
      <c r="J32" s="47">
        <v>31154</v>
      </c>
      <c r="K32" s="47">
        <f t="shared" si="0"/>
        <v>24155</v>
      </c>
      <c r="L32" s="47">
        <v>30235</v>
      </c>
      <c r="M32" s="47">
        <f t="shared" si="0"/>
        <v>17826.95</v>
      </c>
      <c r="N32" s="47">
        <f t="shared" si="0"/>
        <v>17826.95</v>
      </c>
      <c r="O32" s="47">
        <f>SUM(O7:O31)</f>
        <v>19955</v>
      </c>
      <c r="P32" s="47">
        <f>SUM(P7:P31)</f>
        <v>21677</v>
      </c>
      <c r="Q32" s="47">
        <f>SUM(Q7:Q31)</f>
        <v>16690</v>
      </c>
      <c r="R32" s="47">
        <f t="shared" si="0"/>
        <v>16390</v>
      </c>
      <c r="S32" s="53">
        <f>(R32-O32)/O32</f>
        <v>-0.17865196692558255</v>
      </c>
    </row>
    <row r="33" s="22" customFormat="1" ht="12.75"/>
    <row r="34" spans="15:19" s="22" customFormat="1" ht="12.75">
      <c r="O34" s="22" t="s">
        <v>488</v>
      </c>
      <c r="Q34" s="56">
        <f>P32-Q32</f>
        <v>4987</v>
      </c>
      <c r="R34" s="55"/>
      <c r="S34" s="43"/>
    </row>
    <row r="35" spans="2:19" s="22" customFormat="1" ht="12.75">
      <c r="B35" s="4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2" t="s">
        <v>761</v>
      </c>
      <c r="Q35" s="56">
        <f>O32-Q32</f>
        <v>3265</v>
      </c>
      <c r="R35" s="31"/>
      <c r="S35" s="52"/>
    </row>
    <row r="36" spans="1:19" s="22" customFormat="1" ht="12.75">
      <c r="A36" s="46"/>
      <c r="B36" s="4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 t="s">
        <v>436</v>
      </c>
      <c r="Q36" s="56">
        <f>Q32-R32</f>
        <v>300</v>
      </c>
      <c r="R36" s="31"/>
      <c r="S36" s="52"/>
    </row>
    <row r="37" spans="1:19" s="22" customFormat="1" ht="12.75">
      <c r="A37"/>
      <c r="B3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52"/>
    </row>
    <row r="38" spans="1:19" s="22" customFormat="1" ht="12.75">
      <c r="A38" t="s">
        <v>842</v>
      </c>
      <c r="B38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52"/>
    </row>
    <row r="39" spans="1:19" s="22" customFormat="1" ht="12.75">
      <c r="A39" s="46" t="s">
        <v>998</v>
      </c>
      <c r="B39" s="4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52"/>
    </row>
    <row r="40" spans="2:19" s="22" customFormat="1" ht="12.75">
      <c r="B40" s="4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52"/>
    </row>
    <row r="41" spans="2:19" s="22" customFormat="1" ht="12.75">
      <c r="B41" s="4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2"/>
    </row>
    <row r="42" spans="2:19" s="22" customFormat="1" ht="12.75">
      <c r="B42" s="49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52"/>
    </row>
    <row r="43" spans="2:19" s="22" customFormat="1" ht="12.75">
      <c r="B43" s="4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52"/>
    </row>
    <row r="44" spans="2:19" s="22" customFormat="1" ht="12.75">
      <c r="B44" s="4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52"/>
    </row>
    <row r="45" s="22" customFormat="1" ht="12.75"/>
    <row r="46" spans="17:19" s="22" customFormat="1" ht="12.75">
      <c r="Q46" s="56"/>
      <c r="R46" s="55"/>
      <c r="S46" s="43"/>
    </row>
    <row r="47" s="22" customFormat="1" ht="12.75">
      <c r="Q47" s="56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</sheetData>
  <printOptions gridLines="1"/>
  <pageMargins left="0.25" right="0.25" top="1" bottom="0.55" header="0.5" footer="0.25"/>
  <pageSetup fitToHeight="1" fitToWidth="1" horizontalDpi="300" verticalDpi="300" orientation="landscape" scale="97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81"/>
  <sheetViews>
    <sheetView zoomScale="75" zoomScaleNormal="75" workbookViewId="0" topLeftCell="A1">
      <selection activeCell="Q38" sqref="Q3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8.00390625" style="0" hidden="1" customWidth="1"/>
    <col min="8" max="8" width="7.57421875" style="0" hidden="1" customWidth="1"/>
    <col min="9" max="9" width="8.00390625" style="0" hidden="1" customWidth="1"/>
    <col min="10" max="10" width="8.00390625" style="0" bestFit="1" customWidth="1"/>
    <col min="11" max="11" width="8.00390625" style="0" customWidth="1"/>
    <col min="12" max="12" width="9.7109375" style="0" customWidth="1"/>
    <col min="13" max="13" width="7.57421875" style="0" bestFit="1" customWidth="1"/>
    <col min="14" max="14" width="8.00390625" style="0" bestFit="1" customWidth="1"/>
    <col min="15" max="15" width="12.00390625" style="0" customWidth="1"/>
    <col min="17" max="17" width="11.00390625" style="0" bestFit="1" customWidth="1"/>
    <col min="18" max="18" width="8.7109375" style="0" bestFit="1" customWidth="1"/>
    <col min="19" max="19" width="11.00390625" style="0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419</v>
      </c>
      <c r="M3" s="57">
        <v>6</v>
      </c>
      <c r="S3" s="1" t="s">
        <v>438</v>
      </c>
    </row>
    <row r="4" spans="3:19" ht="12.75">
      <c r="C4" s="1" t="s">
        <v>108</v>
      </c>
      <c r="M4" s="1" t="s">
        <v>434</v>
      </c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9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1:20" ht="12.75">
      <c r="A7" s="22" t="s">
        <v>767</v>
      </c>
      <c r="B7" s="4">
        <v>51.11</v>
      </c>
      <c r="C7" s="2">
        <v>27936</v>
      </c>
      <c r="D7" s="2">
        <v>28774</v>
      </c>
      <c r="E7" s="2">
        <v>27804</v>
      </c>
      <c r="F7" s="2">
        <v>30215</v>
      </c>
      <c r="G7" s="2">
        <v>26864</v>
      </c>
      <c r="H7" s="2">
        <v>30507</v>
      </c>
      <c r="I7" s="2">
        <v>25205</v>
      </c>
      <c r="J7" s="2">
        <v>27702</v>
      </c>
      <c r="K7" s="2">
        <v>15821</v>
      </c>
      <c r="L7" s="2">
        <v>18227.08</v>
      </c>
      <c r="M7" s="2">
        <v>9037.88</v>
      </c>
      <c r="N7" s="31">
        <v>14500</v>
      </c>
      <c r="O7" s="20">
        <v>13488.552</v>
      </c>
      <c r="P7" s="2">
        <v>22192</v>
      </c>
      <c r="Q7" s="20">
        <v>11917</v>
      </c>
      <c r="R7" s="20">
        <v>11917</v>
      </c>
      <c r="S7" s="92">
        <f>(R7-O15)/O15</f>
        <v>0.0016810960746406658</v>
      </c>
      <c r="T7" t="s">
        <v>376</v>
      </c>
    </row>
    <row r="8" spans="1:19" ht="12.75" hidden="1">
      <c r="A8" t="s">
        <v>152</v>
      </c>
      <c r="B8" s="4">
        <v>51.13</v>
      </c>
      <c r="C8" s="2"/>
      <c r="D8" s="2"/>
      <c r="E8" s="2"/>
      <c r="F8" s="2">
        <v>111</v>
      </c>
      <c r="G8" s="2"/>
      <c r="H8" s="2"/>
      <c r="I8" s="2"/>
      <c r="J8" s="2"/>
      <c r="K8" s="2"/>
      <c r="L8" s="2"/>
      <c r="M8" s="2"/>
      <c r="N8" s="31"/>
      <c r="O8" s="2"/>
      <c r="P8" s="2"/>
      <c r="Q8" s="2"/>
      <c r="R8" s="2"/>
      <c r="S8" s="92"/>
    </row>
    <row r="9" spans="1:19" ht="12.75">
      <c r="A9" t="s">
        <v>101</v>
      </c>
      <c r="B9" s="4"/>
      <c r="C9" s="2"/>
      <c r="D9" s="2"/>
      <c r="E9" s="2"/>
      <c r="F9" s="2"/>
      <c r="G9" s="2"/>
      <c r="H9" s="2"/>
      <c r="I9" s="2"/>
      <c r="J9" s="2"/>
      <c r="K9" s="2"/>
      <c r="L9" s="2">
        <v>5668</v>
      </c>
      <c r="M9" s="2">
        <v>2330.86</v>
      </c>
      <c r="N9" s="31">
        <v>2331</v>
      </c>
      <c r="O9" s="2">
        <v>4396</v>
      </c>
      <c r="P9" s="2"/>
      <c r="Q9" s="2"/>
      <c r="R9" s="2"/>
      <c r="S9" s="92"/>
    </row>
    <row r="10" spans="1:19" ht="12.75">
      <c r="A10" t="s">
        <v>999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2"/>
      <c r="P10" s="2">
        <v>193</v>
      </c>
      <c r="Q10" s="2"/>
      <c r="R10" s="2"/>
      <c r="S10" s="92"/>
    </row>
    <row r="11" spans="1:19" ht="12.75">
      <c r="A11" t="s">
        <v>1000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2"/>
      <c r="P11" s="2">
        <v>175</v>
      </c>
      <c r="Q11" s="2"/>
      <c r="R11" s="2"/>
      <c r="S11" s="92"/>
    </row>
    <row r="12" spans="1:19" ht="12.75">
      <c r="A12" t="s">
        <v>1001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1"/>
      <c r="O12" s="2"/>
      <c r="P12" s="2">
        <v>4520</v>
      </c>
      <c r="Q12" s="2"/>
      <c r="R12" s="2">
        <v>2250</v>
      </c>
      <c r="S12" s="92"/>
    </row>
    <row r="13" spans="1:19" ht="12.75">
      <c r="A13" t="s">
        <v>1002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1"/>
      <c r="O13" s="2"/>
      <c r="P13" s="2">
        <v>1799</v>
      </c>
      <c r="Q13" s="2"/>
      <c r="R13" s="2">
        <v>900</v>
      </c>
      <c r="S13" s="92"/>
    </row>
    <row r="14" spans="1:24" ht="12.75">
      <c r="A14" t="s">
        <v>768</v>
      </c>
      <c r="B14" s="4"/>
      <c r="C14" s="2"/>
      <c r="D14" s="2"/>
      <c r="E14" s="2"/>
      <c r="F14" s="2"/>
      <c r="G14" s="2"/>
      <c r="H14" s="2"/>
      <c r="I14" s="2"/>
      <c r="J14" s="2"/>
      <c r="K14" s="2">
        <v>581</v>
      </c>
      <c r="L14" s="2">
        <v>459</v>
      </c>
      <c r="M14" s="2">
        <v>119</v>
      </c>
      <c r="N14" s="31">
        <v>119</v>
      </c>
      <c r="O14" s="2">
        <v>560</v>
      </c>
      <c r="P14" s="2"/>
      <c r="Q14" s="2"/>
      <c r="R14" s="2"/>
      <c r="S14" s="92"/>
      <c r="W14" s="4"/>
      <c r="X14" s="168"/>
    </row>
    <row r="15" spans="1:19" ht="12.75">
      <c r="A15" t="s">
        <v>24</v>
      </c>
      <c r="B15" s="4"/>
      <c r="C15" s="2"/>
      <c r="D15" s="2"/>
      <c r="E15" s="2"/>
      <c r="F15" s="2"/>
      <c r="G15" s="2"/>
      <c r="H15" s="2"/>
      <c r="I15" s="2"/>
      <c r="J15" s="2"/>
      <c r="K15" s="2">
        <v>19787</v>
      </c>
      <c r="L15" s="2">
        <v>14796</v>
      </c>
      <c r="M15" s="2">
        <v>10070.09</v>
      </c>
      <c r="N15" s="31">
        <v>15560</v>
      </c>
      <c r="O15" s="2">
        <v>11897</v>
      </c>
      <c r="P15" s="2">
        <v>12492</v>
      </c>
      <c r="Q15" s="2">
        <v>11896.56</v>
      </c>
      <c r="R15" s="2">
        <v>11897</v>
      </c>
      <c r="S15" s="92"/>
    </row>
    <row r="16" spans="1:19" ht="12.75">
      <c r="A16" t="s">
        <v>494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1"/>
      <c r="O16" s="2"/>
      <c r="P16" s="2">
        <v>4920</v>
      </c>
      <c r="Q16" s="2"/>
      <c r="R16" s="2"/>
      <c r="S16" s="92"/>
    </row>
    <row r="17" spans="1:19" ht="12.75">
      <c r="A17" t="s">
        <v>139</v>
      </c>
      <c r="B17" s="4">
        <v>51.22</v>
      </c>
      <c r="C17" s="2">
        <v>2106</v>
      </c>
      <c r="D17" s="2">
        <v>2159</v>
      </c>
      <c r="E17" s="2">
        <v>2081</v>
      </c>
      <c r="F17" s="2">
        <v>2269</v>
      </c>
      <c r="G17" s="2">
        <v>2017</v>
      </c>
      <c r="H17" s="2">
        <v>2334</v>
      </c>
      <c r="I17" s="2">
        <v>1920</v>
      </c>
      <c r="J17" s="2">
        <v>2119</v>
      </c>
      <c r="K17" s="2">
        <v>2724</v>
      </c>
      <c r="L17" s="2">
        <v>2995</v>
      </c>
      <c r="M17" s="2">
        <v>1494.47</v>
      </c>
      <c r="N17" s="2">
        <f>(N7+N9+N14+N15)*0.0765</f>
        <v>2487.015</v>
      </c>
      <c r="O17" s="2">
        <v>2321.128728</v>
      </c>
      <c r="P17" s="2">
        <f>(P15+P7)*0.0765</f>
        <v>2653.326</v>
      </c>
      <c r="Q17" s="2">
        <f>(Q15+Q7)*0.0765</f>
        <v>1821.7373399999997</v>
      </c>
      <c r="R17" s="2">
        <f>(R15+R7+R12+R13)*0.0765</f>
        <v>2062.746</v>
      </c>
      <c r="S17" s="92">
        <f>(R17-O17)/O17</f>
        <v>-0.11131770714958814</v>
      </c>
    </row>
    <row r="18" spans="1:19" ht="12.75">
      <c r="A18" t="s">
        <v>153</v>
      </c>
      <c r="B18" s="4">
        <v>51.24</v>
      </c>
      <c r="C18" s="2">
        <v>234</v>
      </c>
      <c r="D18" s="2">
        <v>245</v>
      </c>
      <c r="E18" s="2">
        <v>531</v>
      </c>
      <c r="F18" s="2"/>
      <c r="G18" s="2">
        <v>88</v>
      </c>
      <c r="H18" s="2"/>
      <c r="I18" s="2"/>
      <c r="J18" s="2"/>
      <c r="K18" s="2"/>
      <c r="L18" s="2"/>
      <c r="M18" s="2"/>
      <c r="N18" s="31">
        <f>(12/$M$3)*M18</f>
        <v>0</v>
      </c>
      <c r="O18" s="20"/>
      <c r="P18" s="2"/>
      <c r="Q18" s="20"/>
      <c r="R18" s="20"/>
      <c r="S18" s="92"/>
    </row>
    <row r="19" spans="2:19" ht="12.75">
      <c r="B19" s="4"/>
      <c r="C19" s="2"/>
      <c r="D19" s="2"/>
      <c r="E19" s="2"/>
      <c r="F19" s="2"/>
      <c r="G19" s="2"/>
      <c r="H19" s="2"/>
      <c r="I19" s="2"/>
      <c r="J19" s="2">
        <v>40</v>
      </c>
      <c r="K19" s="2"/>
      <c r="L19" s="2"/>
      <c r="M19" s="2"/>
      <c r="N19" s="31"/>
      <c r="O19" s="20"/>
      <c r="P19" s="2"/>
      <c r="Q19" s="20"/>
      <c r="R19" s="20"/>
      <c r="S19" s="92"/>
    </row>
    <row r="20" spans="1:19" ht="12.75">
      <c r="A20" t="s">
        <v>206</v>
      </c>
      <c r="B20" s="4">
        <v>52.121</v>
      </c>
      <c r="C20" s="2"/>
      <c r="D20" s="2"/>
      <c r="E20" s="2"/>
      <c r="F20" s="2"/>
      <c r="G20" s="2"/>
      <c r="H20" s="2"/>
      <c r="I20" s="2"/>
      <c r="J20" s="2">
        <v>928</v>
      </c>
      <c r="K20" s="2"/>
      <c r="L20" s="2"/>
      <c r="M20" s="2"/>
      <c r="N20" s="31"/>
      <c r="O20" s="2"/>
      <c r="P20" s="2"/>
      <c r="Q20" s="2"/>
      <c r="R20" s="2"/>
      <c r="S20" s="92"/>
    </row>
    <row r="21" spans="1:19" ht="12.75">
      <c r="A21" t="s">
        <v>141</v>
      </c>
      <c r="B21" s="4">
        <v>52.32</v>
      </c>
      <c r="C21" s="2">
        <v>349</v>
      </c>
      <c r="D21" s="2">
        <v>517</v>
      </c>
      <c r="E21" s="2">
        <v>489</v>
      </c>
      <c r="F21" s="2">
        <v>559</v>
      </c>
      <c r="G21" s="2">
        <v>374</v>
      </c>
      <c r="H21" s="2">
        <v>391</v>
      </c>
      <c r="I21" s="2">
        <v>417</v>
      </c>
      <c r="J21" s="2">
        <v>513</v>
      </c>
      <c r="K21" s="2">
        <v>442</v>
      </c>
      <c r="L21" s="2">
        <v>491</v>
      </c>
      <c r="M21" s="2">
        <v>228.39</v>
      </c>
      <c r="N21" s="31">
        <f>(12/$M$3)*M21</f>
        <v>456.78</v>
      </c>
      <c r="O21" s="2">
        <v>500</v>
      </c>
      <c r="P21" s="2">
        <v>500</v>
      </c>
      <c r="Q21" s="2">
        <v>500</v>
      </c>
      <c r="R21" s="2">
        <v>500</v>
      </c>
      <c r="S21" s="92">
        <f>(R21-O21)/O21</f>
        <v>0</v>
      </c>
    </row>
    <row r="22" spans="1:19" ht="12.75">
      <c r="A22" t="s">
        <v>142</v>
      </c>
      <c r="B22" s="4">
        <v>52.321</v>
      </c>
      <c r="C22" s="2">
        <v>1637</v>
      </c>
      <c r="D22" s="2">
        <v>1612</v>
      </c>
      <c r="E22" s="2">
        <v>874</v>
      </c>
      <c r="F22" s="2">
        <v>1100</v>
      </c>
      <c r="G22" s="2">
        <v>1241</v>
      </c>
      <c r="H22" s="2">
        <v>2054</v>
      </c>
      <c r="I22" s="2">
        <v>2746</v>
      </c>
      <c r="J22" s="2">
        <v>2982</v>
      </c>
      <c r="K22" s="2">
        <v>1938</v>
      </c>
      <c r="L22" s="2">
        <v>2165</v>
      </c>
      <c r="M22" s="2">
        <v>70</v>
      </c>
      <c r="N22" s="31">
        <v>2000</v>
      </c>
      <c r="O22" s="2">
        <v>3000</v>
      </c>
      <c r="P22" s="2">
        <v>3500</v>
      </c>
      <c r="Q22" s="2">
        <v>2000</v>
      </c>
      <c r="R22" s="2">
        <v>2000</v>
      </c>
      <c r="S22" s="92">
        <f>(R22-O22)/O22</f>
        <v>-0.3333333333333333</v>
      </c>
    </row>
    <row r="23" spans="1:19" ht="12.75">
      <c r="A23" t="s">
        <v>1004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1"/>
      <c r="O23" s="2"/>
      <c r="P23" s="2">
        <v>70</v>
      </c>
      <c r="Q23" s="2"/>
      <c r="R23" s="2"/>
      <c r="S23" s="92"/>
    </row>
    <row r="24" spans="1:20" ht="12.75">
      <c r="A24" t="s">
        <v>154</v>
      </c>
      <c r="B24" s="4">
        <v>52.35</v>
      </c>
      <c r="C24" s="2">
        <v>821</v>
      </c>
      <c r="D24" s="2"/>
      <c r="E24" s="2">
        <v>71</v>
      </c>
      <c r="F24" s="2">
        <v>561</v>
      </c>
      <c r="G24" s="2">
        <v>635</v>
      </c>
      <c r="H24" s="2">
        <v>1218</v>
      </c>
      <c r="I24" s="2">
        <v>1129</v>
      </c>
      <c r="J24" s="2">
        <v>1393</v>
      </c>
      <c r="K24" s="2">
        <v>1367</v>
      </c>
      <c r="L24" s="2">
        <v>0</v>
      </c>
      <c r="M24" s="2"/>
      <c r="N24" s="31">
        <v>1500</v>
      </c>
      <c r="O24" s="2">
        <v>1500</v>
      </c>
      <c r="P24" s="2">
        <v>1500</v>
      </c>
      <c r="Q24" s="2"/>
      <c r="R24" s="20">
        <v>750</v>
      </c>
      <c r="S24" s="92"/>
      <c r="T24" s="33" t="s">
        <v>514</v>
      </c>
    </row>
    <row r="25" spans="1:20" ht="12.75">
      <c r="A25" t="s">
        <v>155</v>
      </c>
      <c r="B25" s="4">
        <v>52.37</v>
      </c>
      <c r="C25" s="2"/>
      <c r="D25" s="2"/>
      <c r="E25" s="2">
        <v>238</v>
      </c>
      <c r="F25" s="2">
        <v>355</v>
      </c>
      <c r="G25" s="2">
        <v>765</v>
      </c>
      <c r="H25" s="2">
        <v>1200</v>
      </c>
      <c r="I25" s="2">
        <v>935</v>
      </c>
      <c r="J25" s="2">
        <v>1260</v>
      </c>
      <c r="K25" s="2">
        <v>1300</v>
      </c>
      <c r="L25" s="2">
        <v>1120</v>
      </c>
      <c r="M25" s="2"/>
      <c r="N25" s="31">
        <v>1250</v>
      </c>
      <c r="O25" s="2">
        <v>1250</v>
      </c>
      <c r="P25" s="2">
        <v>1250</v>
      </c>
      <c r="Q25" s="2"/>
      <c r="R25" s="20">
        <v>675</v>
      </c>
      <c r="S25" s="92"/>
      <c r="T25" s="33" t="s">
        <v>514</v>
      </c>
    </row>
    <row r="26" spans="1:19" ht="12.75" hidden="1">
      <c r="A26" t="s">
        <v>144</v>
      </c>
      <c r="B26" s="4">
        <v>52.3602</v>
      </c>
      <c r="C26" s="2"/>
      <c r="D26" s="2"/>
      <c r="E26" s="2"/>
      <c r="F26" s="2"/>
      <c r="G26" s="2">
        <v>60</v>
      </c>
      <c r="H26" s="2"/>
      <c r="I26" s="2"/>
      <c r="J26" s="2"/>
      <c r="K26" s="2"/>
      <c r="L26" s="2"/>
      <c r="M26" s="2"/>
      <c r="N26" s="31"/>
      <c r="O26" s="2"/>
      <c r="P26" s="2"/>
      <c r="Q26" s="2"/>
      <c r="R26" s="2"/>
      <c r="S26" s="92"/>
    </row>
    <row r="27" spans="1:19" ht="12.75">
      <c r="A27" t="s">
        <v>149</v>
      </c>
      <c r="B27" s="4">
        <v>53.171</v>
      </c>
      <c r="C27" s="2">
        <v>307</v>
      </c>
      <c r="D27" s="2">
        <v>259</v>
      </c>
      <c r="E27" s="2">
        <v>295</v>
      </c>
      <c r="F27" s="2">
        <v>386</v>
      </c>
      <c r="G27" s="2">
        <v>336</v>
      </c>
      <c r="H27" s="2">
        <v>435</v>
      </c>
      <c r="I27" s="2">
        <v>350</v>
      </c>
      <c r="J27" s="2">
        <v>459</v>
      </c>
      <c r="K27" s="2">
        <v>408</v>
      </c>
      <c r="L27" s="2">
        <f>1975-44</f>
        <v>1931</v>
      </c>
      <c r="M27" s="2">
        <v>143.71</v>
      </c>
      <c r="N27" s="31">
        <v>600</v>
      </c>
      <c r="O27" s="2">
        <v>600</v>
      </c>
      <c r="P27" s="2">
        <v>750</v>
      </c>
      <c r="Q27" s="2">
        <v>600</v>
      </c>
      <c r="R27" s="2">
        <v>600</v>
      </c>
      <c r="S27" s="92">
        <f>(R27-O27)/O27</f>
        <v>0</v>
      </c>
    </row>
    <row r="28" spans="1:19" ht="12.75">
      <c r="A28" t="s">
        <v>657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1"/>
      <c r="O28" s="5"/>
      <c r="P28" s="2"/>
      <c r="Q28" s="5"/>
      <c r="R28" s="5"/>
      <c r="S28" s="92"/>
    </row>
    <row r="29" spans="1:19" ht="12.75">
      <c r="A29" t="s">
        <v>795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1"/>
      <c r="O29" s="5"/>
      <c r="P29" s="2"/>
      <c r="Q29" s="5"/>
      <c r="R29" s="5"/>
      <c r="S29" s="92"/>
    </row>
    <row r="30" spans="1:19" ht="12.75">
      <c r="A30" t="s">
        <v>851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1"/>
      <c r="O30" s="5"/>
      <c r="P30" s="2"/>
      <c r="Q30" s="2"/>
      <c r="R30" s="5"/>
      <c r="S30" s="92"/>
    </row>
    <row r="31" spans="1:21" ht="12.75">
      <c r="A31" t="s">
        <v>230</v>
      </c>
      <c r="B31" s="4">
        <v>54.24</v>
      </c>
      <c r="C31" s="5"/>
      <c r="D31" s="5"/>
      <c r="E31" s="5"/>
      <c r="F31" s="2">
        <v>711</v>
      </c>
      <c r="G31" s="2">
        <v>279</v>
      </c>
      <c r="H31" s="2"/>
      <c r="I31" s="2">
        <v>25</v>
      </c>
      <c r="J31" s="2"/>
      <c r="K31" s="2"/>
      <c r="L31" s="2"/>
      <c r="M31" s="2"/>
      <c r="N31" s="31"/>
      <c r="O31" s="2"/>
      <c r="P31" s="2"/>
      <c r="Q31" s="2"/>
      <c r="R31" s="2"/>
      <c r="S31" s="52"/>
      <c r="U31" t="s">
        <v>683</v>
      </c>
    </row>
    <row r="32" spans="1:19" ht="12.75">
      <c r="A32" t="s">
        <v>966</v>
      </c>
      <c r="B32" s="4"/>
      <c r="C32" s="5"/>
      <c r="D32" s="5"/>
      <c r="E32" s="5"/>
      <c r="F32" s="2"/>
      <c r="G32" s="2"/>
      <c r="H32" s="2"/>
      <c r="I32" s="2"/>
      <c r="J32" s="2"/>
      <c r="K32" s="2"/>
      <c r="L32" s="2">
        <v>125</v>
      </c>
      <c r="M32" s="2"/>
      <c r="N32" s="31"/>
      <c r="O32" s="2"/>
      <c r="P32" s="2"/>
      <c r="Q32" s="2"/>
      <c r="R32" s="2"/>
      <c r="S32" s="52"/>
    </row>
    <row r="33" spans="2:19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2"/>
    </row>
    <row r="34" spans="1:19" ht="12.75">
      <c r="A34" s="6" t="s">
        <v>116</v>
      </c>
      <c r="B34" s="6"/>
      <c r="C34" s="7">
        <f>SUM(C7:C28)</f>
        <v>33390</v>
      </c>
      <c r="D34" s="8">
        <f>SUM(D7:D31)</f>
        <v>33566</v>
      </c>
      <c r="E34" s="8">
        <f>SUM(E7:E31)</f>
        <v>32383</v>
      </c>
      <c r="F34" s="8">
        <f>SUM(F7:F31)</f>
        <v>36267</v>
      </c>
      <c r="G34" s="8">
        <f>SUM(G7:G31)</f>
        <v>32659</v>
      </c>
      <c r="H34" s="8">
        <f>SUM(H7:H31)</f>
        <v>38139</v>
      </c>
      <c r="I34" s="8">
        <v>32727</v>
      </c>
      <c r="J34" s="8">
        <f>SUM(J7:J31)</f>
        <v>37396</v>
      </c>
      <c r="K34" s="8">
        <f>SUM(K7:K31)</f>
        <v>44368</v>
      </c>
      <c r="L34" s="8">
        <v>47976</v>
      </c>
      <c r="M34" s="8">
        <f>SUM(M7:M31)</f>
        <v>23494.4</v>
      </c>
      <c r="N34" s="8">
        <f>SUM(N7:N31)</f>
        <v>40803.795</v>
      </c>
      <c r="O34" s="8">
        <f>SUM(O7:O33)</f>
        <v>39512.680728</v>
      </c>
      <c r="P34" s="8">
        <f>SUM(P7:P33)</f>
        <v>56514.326</v>
      </c>
      <c r="Q34" s="8">
        <f>SUM(Q7:Q33)</f>
        <v>28735.297339999997</v>
      </c>
      <c r="R34" s="8">
        <f>SUM(R7:R33)</f>
        <v>33551.746</v>
      </c>
      <c r="S34" s="53">
        <f>(R34-O34)/O34</f>
        <v>-0.15086130877918094</v>
      </c>
    </row>
    <row r="35" spans="16:18" ht="12.75">
      <c r="P35" s="2"/>
      <c r="Q35" s="2"/>
      <c r="R35" s="5"/>
    </row>
    <row r="36" spans="15:17" ht="12.75">
      <c r="O36" s="22" t="s">
        <v>488</v>
      </c>
      <c r="P36" s="22"/>
      <c r="Q36" s="56">
        <f>P34-Q34</f>
        <v>27779.028660000004</v>
      </c>
    </row>
    <row r="37" spans="15:18" ht="12.75">
      <c r="O37" s="22" t="s">
        <v>761</v>
      </c>
      <c r="P37" s="22"/>
      <c r="Q37" s="56">
        <f>O34-Q34</f>
        <v>10777.383388000002</v>
      </c>
      <c r="R37" s="56"/>
    </row>
    <row r="38" spans="15:18" ht="12.75">
      <c r="O38" s="22" t="s">
        <v>436</v>
      </c>
      <c r="P38" s="22"/>
      <c r="Q38" s="56">
        <f>Q34-R34</f>
        <v>-4816.448660000002</v>
      </c>
      <c r="R38" s="56"/>
    </row>
    <row r="40" ht="12.75">
      <c r="A40" t="s">
        <v>1003</v>
      </c>
    </row>
    <row r="41" ht="12.75">
      <c r="A41" s="33" t="s">
        <v>1034</v>
      </c>
    </row>
    <row r="42" spans="14:15" ht="12.75">
      <c r="N42" s="170"/>
      <c r="O42" s="170"/>
    </row>
    <row r="43" ht="12.75">
      <c r="A43" s="6"/>
    </row>
    <row r="47" spans="14:15" ht="12.75">
      <c r="N47" s="5"/>
      <c r="O47" s="5"/>
    </row>
    <row r="48" ht="12.75">
      <c r="N48" s="5"/>
    </row>
    <row r="49" spans="14:15" ht="12.75">
      <c r="N49" s="5"/>
      <c r="O49" s="5"/>
    </row>
    <row r="50" ht="12.75">
      <c r="O50" s="5"/>
    </row>
    <row r="51" spans="20:22" ht="12.75">
      <c r="T51" s="2"/>
      <c r="V51" s="5"/>
    </row>
    <row r="52" spans="14:22" ht="12.75">
      <c r="N52" s="5"/>
      <c r="O52" s="5"/>
      <c r="T52" s="2"/>
      <c r="V52" s="5"/>
    </row>
    <row r="53" ht="12.75">
      <c r="U53" s="2"/>
    </row>
    <row r="54" spans="20:22" ht="12.75">
      <c r="T54" s="5"/>
      <c r="U54" s="2"/>
      <c r="V54" s="5"/>
    </row>
    <row r="55" spans="15:21" ht="12.75">
      <c r="O55" s="5"/>
      <c r="U55" s="2"/>
    </row>
    <row r="56" spans="15:21" ht="12.75">
      <c r="O56" s="5"/>
      <c r="U56" s="2"/>
    </row>
    <row r="57" ht="12.75">
      <c r="O57" s="5"/>
    </row>
    <row r="58" ht="12.75">
      <c r="V58" s="5"/>
    </row>
    <row r="59" spans="21:22" ht="12.75">
      <c r="U59" s="2"/>
      <c r="V59" s="5"/>
    </row>
    <row r="60" spans="21:22" ht="12.75">
      <c r="U60" s="2"/>
      <c r="V60" s="5"/>
    </row>
    <row r="61" spans="3:21" ht="12.75">
      <c r="C61" s="2"/>
      <c r="D61" s="2"/>
      <c r="E61" s="2"/>
      <c r="F61" s="2"/>
      <c r="G61" s="2"/>
      <c r="H61" s="2"/>
      <c r="I61" s="2"/>
      <c r="J61" s="2"/>
      <c r="K61" s="2"/>
      <c r="P61" s="2"/>
      <c r="Q61" s="2"/>
      <c r="R61" s="2"/>
      <c r="U61" s="2"/>
    </row>
    <row r="62" spans="3:22" ht="12.75">
      <c r="C62" s="2"/>
      <c r="D62" s="2"/>
      <c r="E62" s="2"/>
      <c r="F62" s="2"/>
      <c r="G62" s="2"/>
      <c r="H62" s="2"/>
      <c r="I62" s="2"/>
      <c r="J62" s="2"/>
      <c r="K62" s="2"/>
      <c r="P62" s="2"/>
      <c r="Q62" s="2"/>
      <c r="R62" s="2"/>
      <c r="U62" s="2"/>
      <c r="V62" s="5"/>
    </row>
    <row r="63" spans="3:21" ht="12.75">
      <c r="C63" s="2"/>
      <c r="D63" s="2"/>
      <c r="E63" s="2"/>
      <c r="F63" s="2"/>
      <c r="G63" s="2"/>
      <c r="H63" s="2"/>
      <c r="I63" s="2"/>
      <c r="J63" s="2"/>
      <c r="K63" s="2"/>
      <c r="P63" s="2"/>
      <c r="Q63" s="2"/>
      <c r="R63" s="2"/>
      <c r="U63" s="2"/>
    </row>
    <row r="64" spans="3:21" ht="12.75">
      <c r="C64" s="2"/>
      <c r="D64" s="2"/>
      <c r="E64" s="2"/>
      <c r="F64" s="2"/>
      <c r="G64" s="2"/>
      <c r="H64" s="2"/>
      <c r="I64" s="2"/>
      <c r="J64" s="2"/>
      <c r="K64" s="2"/>
      <c r="N64" s="5"/>
      <c r="O64" s="5"/>
      <c r="P64" s="2"/>
      <c r="Q64" s="2"/>
      <c r="R64" s="2"/>
      <c r="U64" s="2"/>
    </row>
    <row r="65" spans="3:21" ht="12.75">
      <c r="C65" s="2"/>
      <c r="D65" s="2"/>
      <c r="E65" s="2"/>
      <c r="F65" s="2"/>
      <c r="G65" s="2"/>
      <c r="H65" s="2"/>
      <c r="I65" s="2"/>
      <c r="J65" s="2"/>
      <c r="K65" s="2"/>
      <c r="P65" s="2"/>
      <c r="Q65" s="2"/>
      <c r="R65" s="2"/>
      <c r="U65" s="2"/>
    </row>
    <row r="66" spans="3:21" ht="12.75">
      <c r="C66" s="2"/>
      <c r="D66" s="2"/>
      <c r="E66" s="2"/>
      <c r="F66" s="2"/>
      <c r="G66" s="2"/>
      <c r="H66" s="2"/>
      <c r="I66" s="2"/>
      <c r="J66" s="2"/>
      <c r="K66" s="2"/>
      <c r="P66" s="2"/>
      <c r="Q66" s="2"/>
      <c r="R66" s="2"/>
      <c r="U66" s="2"/>
    </row>
    <row r="67" ht="12.75">
      <c r="U67" s="2"/>
    </row>
    <row r="68" ht="12.75">
      <c r="U68" s="2"/>
    </row>
    <row r="69" spans="20:22" ht="12.75">
      <c r="T69" s="5"/>
      <c r="U69" s="2"/>
      <c r="V69" s="5"/>
    </row>
    <row r="71" ht="12.75">
      <c r="T71" s="133"/>
    </row>
    <row r="76" ht="12.75">
      <c r="S76" s="2"/>
    </row>
    <row r="77" ht="12.75">
      <c r="S77" s="2"/>
    </row>
    <row r="78" ht="12.75">
      <c r="S78" s="2"/>
    </row>
    <row r="79" ht="12.75">
      <c r="S79" s="2"/>
    </row>
    <row r="80" ht="12.75">
      <c r="S80" s="2"/>
    </row>
    <row r="81" ht="12.75">
      <c r="S81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78"/>
  <sheetViews>
    <sheetView zoomScale="75" zoomScaleNormal="75" workbookViewId="0" topLeftCell="A1">
      <selection activeCell="L15" sqref="L1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8" width="8.00390625" style="0" hidden="1" customWidth="1"/>
    <col min="9" max="9" width="7.140625" style="0" hidden="1" customWidth="1"/>
    <col min="10" max="13" width="11.7109375" style="0" customWidth="1"/>
    <col min="14" max="14" width="13.421875" style="0" bestFit="1" customWidth="1"/>
    <col min="15" max="16" width="11.7109375" style="0" customWidth="1"/>
    <col min="17" max="17" width="10.7109375" style="0" bestFit="1" customWidth="1"/>
    <col min="18" max="18" width="11.7109375" style="0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ht="12.75">
      <c r="A2" t="s">
        <v>107</v>
      </c>
    </row>
    <row r="3" spans="1:19" ht="12.75">
      <c r="A3" s="6" t="s">
        <v>440</v>
      </c>
      <c r="M3" s="57">
        <v>10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9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39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3" t="s">
        <v>115</v>
      </c>
    </row>
    <row r="7" spans="1:19" ht="12.75">
      <c r="A7" t="s">
        <v>687</v>
      </c>
      <c r="B7" s="4">
        <v>52.121</v>
      </c>
      <c r="C7" s="2">
        <v>85176</v>
      </c>
      <c r="D7" s="2">
        <v>74778</v>
      </c>
      <c r="E7" s="2">
        <v>58863</v>
      </c>
      <c r="F7" s="2">
        <v>38379</v>
      </c>
      <c r="G7" s="2">
        <v>50508</v>
      </c>
      <c r="H7" s="2">
        <v>35241</v>
      </c>
      <c r="I7" s="2">
        <f>33021+3251</f>
        <v>36272</v>
      </c>
      <c r="J7" s="2">
        <v>25928</v>
      </c>
      <c r="K7" s="2">
        <v>16686</v>
      </c>
      <c r="L7" s="2">
        <f>16872+613</f>
        <v>17485</v>
      </c>
      <c r="M7" s="2">
        <v>12446</v>
      </c>
      <c r="N7" s="31">
        <f>(12/$M$3)*M7</f>
        <v>14935.199999999999</v>
      </c>
      <c r="O7" s="2">
        <v>20000</v>
      </c>
      <c r="P7" s="2">
        <v>20000</v>
      </c>
      <c r="Q7" s="2">
        <v>20000</v>
      </c>
      <c r="R7" s="2">
        <v>20000</v>
      </c>
      <c r="S7" s="52">
        <f>(R7-O7)/O7</f>
        <v>0</v>
      </c>
    </row>
    <row r="8" spans="1:19" ht="12.75">
      <c r="A8" t="s">
        <v>341</v>
      </c>
      <c r="B8" s="4">
        <v>52.1211</v>
      </c>
      <c r="C8" s="2"/>
      <c r="D8" s="2"/>
      <c r="E8" s="2">
        <v>3076</v>
      </c>
      <c r="F8" s="2">
        <v>18669</v>
      </c>
      <c r="G8" s="2">
        <v>17991</v>
      </c>
      <c r="H8" s="2">
        <v>38452</v>
      </c>
      <c r="I8" s="2">
        <f>35146+1733</f>
        <v>36879</v>
      </c>
      <c r="J8" s="2">
        <v>28400</v>
      </c>
      <c r="K8" s="2">
        <v>76325</v>
      </c>
      <c r="L8" s="2">
        <f>38335+3609</f>
        <v>41944</v>
      </c>
      <c r="M8" s="2">
        <v>43524</v>
      </c>
      <c r="N8" s="31">
        <f>(12/$M$3)*M8</f>
        <v>52228.799999999996</v>
      </c>
      <c r="O8" s="2">
        <v>40000</v>
      </c>
      <c r="P8" s="2">
        <v>40000</v>
      </c>
      <c r="Q8" s="2">
        <v>40000</v>
      </c>
      <c r="R8" s="2">
        <v>40000</v>
      </c>
      <c r="S8" s="52">
        <f>(R8-O8)/O8</f>
        <v>0</v>
      </c>
    </row>
    <row r="9" spans="2:19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2"/>
    </row>
    <row r="10" spans="1:19" ht="12.75">
      <c r="A10" s="6" t="s">
        <v>116</v>
      </c>
      <c r="B10" s="6"/>
      <c r="C10" s="8">
        <f>SUM(C7:C8)</f>
        <v>85176</v>
      </c>
      <c r="D10" s="8">
        <f>SUM(D7:D8)</f>
        <v>74778</v>
      </c>
      <c r="E10" s="8">
        <f>SUM(E7:E9)</f>
        <v>61939</v>
      </c>
      <c r="F10" s="8">
        <f>SUM(F7:F9)</f>
        <v>57048</v>
      </c>
      <c r="G10" s="8">
        <f>SUM(G7:G9)</f>
        <v>68499</v>
      </c>
      <c r="H10" s="8">
        <f>SUM(H7:H9)</f>
        <v>73693</v>
      </c>
      <c r="I10" s="8">
        <v>73151</v>
      </c>
      <c r="J10" s="8">
        <v>54328</v>
      </c>
      <c r="K10" s="8">
        <f>SUM(K7:K8)</f>
        <v>93011</v>
      </c>
      <c r="L10" s="8">
        <v>59429</v>
      </c>
      <c r="M10" s="8">
        <f>SUM(M7:M8)</f>
        <v>55970</v>
      </c>
      <c r="N10" s="8">
        <f>SUM(N7:N8)</f>
        <v>67164</v>
      </c>
      <c r="O10" s="8">
        <f>SUM(O7:O9)</f>
        <v>60000</v>
      </c>
      <c r="P10" s="8">
        <f>SUM(P7:P9)</f>
        <v>60000</v>
      </c>
      <c r="Q10" s="8">
        <f>SUM(Q7:Q9)</f>
        <v>60000</v>
      </c>
      <c r="R10" s="8">
        <f>SUM(R7:R9)</f>
        <v>60000</v>
      </c>
      <c r="S10" s="60">
        <f>(R10-O10)/O10</f>
        <v>0</v>
      </c>
    </row>
    <row r="12" spans="15:17" ht="12.75">
      <c r="O12" s="22" t="s">
        <v>488</v>
      </c>
      <c r="P12" s="22"/>
      <c r="Q12" s="56">
        <f>P10-Q10</f>
        <v>0</v>
      </c>
    </row>
    <row r="13" spans="15:17" ht="12.75">
      <c r="O13" s="22" t="s">
        <v>761</v>
      </c>
      <c r="P13" s="22"/>
      <c r="Q13" s="56">
        <f>O10-Q10</f>
        <v>0</v>
      </c>
    </row>
    <row r="14" spans="15:17" ht="12.75">
      <c r="O14" s="22" t="s">
        <v>436</v>
      </c>
      <c r="P14" s="22"/>
      <c r="Q14" s="56">
        <f>Q10-R10</f>
        <v>0</v>
      </c>
    </row>
    <row r="17" ht="12.75">
      <c r="U17" t="s">
        <v>683</v>
      </c>
    </row>
    <row r="54" spans="3:1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73" ht="12.75">
      <c r="S73" s="2"/>
    </row>
    <row r="74" ht="12.75">
      <c r="S74" s="2"/>
    </row>
    <row r="75" ht="12.75">
      <c r="S75" s="2"/>
    </row>
    <row r="76" ht="12.75">
      <c r="S76" s="2"/>
    </row>
    <row r="77" ht="12.75">
      <c r="S77" s="2"/>
    </row>
    <row r="78" ht="12.75">
      <c r="S78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55"/>
  <sheetViews>
    <sheetView zoomScale="75" zoomScaleNormal="75" workbookViewId="0" topLeftCell="A1">
      <selection activeCell="R36" sqref="R36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9" width="11.7109375" style="0" hidden="1" customWidth="1"/>
    <col min="10" max="13" width="11.7109375" style="0" customWidth="1"/>
    <col min="14" max="14" width="13.421875" style="0" bestFit="1" customWidth="1"/>
    <col min="15" max="15" width="11.7109375" style="0" customWidth="1"/>
    <col min="16" max="17" width="12.00390625" style="0" bestFit="1" customWidth="1"/>
    <col min="18" max="18" width="11.7109375" style="0" customWidth="1"/>
    <col min="19" max="19" width="10.28125" style="0" bestFit="1" customWidth="1"/>
    <col min="20" max="20" width="11.7109375" style="0" customWidth="1"/>
  </cols>
  <sheetData>
    <row r="1" ht="12.75">
      <c r="A1" t="s">
        <v>106</v>
      </c>
    </row>
    <row r="2" spans="1:13" ht="12.75">
      <c r="A2" t="s">
        <v>107</v>
      </c>
      <c r="L2" s="170"/>
      <c r="M2" s="170"/>
    </row>
    <row r="3" spans="1:19" ht="12.75">
      <c r="A3" s="6" t="s">
        <v>441</v>
      </c>
      <c r="M3" s="57">
        <v>6</v>
      </c>
      <c r="N3" s="9"/>
      <c r="S3" s="1" t="s">
        <v>438</v>
      </c>
    </row>
    <row r="4" spans="3:19" ht="12.75">
      <c r="C4" s="1" t="s">
        <v>108</v>
      </c>
      <c r="D4" s="1"/>
      <c r="E4" s="1"/>
      <c r="F4" s="1"/>
      <c r="G4" s="1"/>
      <c r="H4" s="1"/>
      <c r="I4" s="1"/>
      <c r="J4" s="1"/>
      <c r="K4" s="1"/>
      <c r="L4" s="1"/>
      <c r="M4" s="9" t="s">
        <v>434</v>
      </c>
      <c r="N4" s="9"/>
      <c r="O4" s="1"/>
      <c r="P4" s="3" t="s">
        <v>111</v>
      </c>
      <c r="Q4" s="3" t="s">
        <v>617</v>
      </c>
      <c r="R4" s="3" t="s">
        <v>618</v>
      </c>
      <c r="S4" s="1" t="s">
        <v>439</v>
      </c>
    </row>
    <row r="5" spans="3:19" ht="12.75">
      <c r="C5" s="1" t="s">
        <v>109</v>
      </c>
      <c r="D5" s="1" t="s">
        <v>425</v>
      </c>
      <c r="E5" s="1" t="s">
        <v>425</v>
      </c>
      <c r="F5" s="1" t="s">
        <v>425</v>
      </c>
      <c r="G5" s="1" t="s">
        <v>425</v>
      </c>
      <c r="H5" s="1" t="s">
        <v>425</v>
      </c>
      <c r="I5" s="1" t="s">
        <v>425</v>
      </c>
      <c r="J5" s="1" t="s">
        <v>425</v>
      </c>
      <c r="K5" s="1" t="s">
        <v>425</v>
      </c>
      <c r="L5" s="1" t="s">
        <v>425</v>
      </c>
      <c r="M5" s="1" t="s">
        <v>425</v>
      </c>
      <c r="N5" s="1" t="s">
        <v>435</v>
      </c>
      <c r="O5" s="1" t="s">
        <v>354</v>
      </c>
      <c r="P5" s="3" t="s">
        <v>112</v>
      </c>
      <c r="Q5" s="3" t="s">
        <v>113</v>
      </c>
      <c r="R5" s="3" t="s">
        <v>114</v>
      </c>
      <c r="S5" s="1" t="s">
        <v>427</v>
      </c>
    </row>
    <row r="6" spans="1:20" ht="12.75">
      <c r="A6" t="s">
        <v>118</v>
      </c>
      <c r="C6" s="1">
        <v>1999</v>
      </c>
      <c r="D6" s="39">
        <v>2000</v>
      </c>
      <c r="E6" s="39">
        <v>2001</v>
      </c>
      <c r="F6" s="39">
        <v>2002</v>
      </c>
      <c r="G6" s="39">
        <v>2003</v>
      </c>
      <c r="H6" s="39">
        <v>2004</v>
      </c>
      <c r="I6" s="39">
        <v>2005</v>
      </c>
      <c r="J6" s="39">
        <v>2006</v>
      </c>
      <c r="K6" s="39">
        <v>2007</v>
      </c>
      <c r="L6" s="39">
        <v>2008</v>
      </c>
      <c r="M6" s="23">
        <v>2009</v>
      </c>
      <c r="N6" s="23">
        <v>2009</v>
      </c>
      <c r="O6" s="23">
        <v>2009</v>
      </c>
      <c r="P6" s="23">
        <v>2010</v>
      </c>
      <c r="Q6" s="23">
        <v>2010</v>
      </c>
      <c r="R6" s="23">
        <v>2010</v>
      </c>
      <c r="S6" s="23" t="s">
        <v>866</v>
      </c>
      <c r="T6" s="58" t="s">
        <v>115</v>
      </c>
    </row>
    <row r="7" spans="1:20" ht="12.75">
      <c r="A7" s="22" t="s">
        <v>686</v>
      </c>
      <c r="B7" s="4">
        <v>51.11</v>
      </c>
      <c r="C7" s="2">
        <v>108542</v>
      </c>
      <c r="D7" s="2">
        <v>123147</v>
      </c>
      <c r="E7" s="2">
        <v>131934</v>
      </c>
      <c r="F7" s="2">
        <v>152298</v>
      </c>
      <c r="G7" s="2">
        <v>154703</v>
      </c>
      <c r="H7" s="2">
        <v>164989</v>
      </c>
      <c r="I7" s="2">
        <v>137575</v>
      </c>
      <c r="J7" s="2">
        <v>141432</v>
      </c>
      <c r="K7" s="2">
        <v>145438</v>
      </c>
      <c r="L7" s="2">
        <v>150437.16</v>
      </c>
      <c r="M7" s="2">
        <v>71420.39</v>
      </c>
      <c r="N7" s="2">
        <f>+M7/$M$3*12</f>
        <v>142840.78</v>
      </c>
      <c r="O7" s="2">
        <v>168456.47</v>
      </c>
      <c r="P7" s="2">
        <v>162397</v>
      </c>
      <c r="Q7" s="2">
        <v>162397.04</v>
      </c>
      <c r="R7" s="2">
        <v>162397.04</v>
      </c>
      <c r="S7" s="92">
        <f>(R7-O7)/O7</f>
        <v>-0.03597030140783546</v>
      </c>
      <c r="T7" s="33" t="s">
        <v>376</v>
      </c>
    </row>
    <row r="8" spans="1:20" ht="12.75" hidden="1">
      <c r="A8" t="s">
        <v>321</v>
      </c>
      <c r="B8" s="4">
        <v>51.13</v>
      </c>
      <c r="C8" s="2">
        <v>391</v>
      </c>
      <c r="D8" s="2">
        <v>697</v>
      </c>
      <c r="E8" s="2"/>
      <c r="F8" s="2"/>
      <c r="G8" s="2">
        <v>87</v>
      </c>
      <c r="H8" s="2"/>
      <c r="I8" s="2">
        <v>152</v>
      </c>
      <c r="J8" s="2"/>
      <c r="K8" s="2"/>
      <c r="L8" s="2"/>
      <c r="M8" s="2"/>
      <c r="N8" s="2"/>
      <c r="P8" s="2"/>
      <c r="S8" s="92"/>
      <c r="T8" s="33"/>
    </row>
    <row r="9" spans="1:20" ht="12.75" hidden="1">
      <c r="A9" t="s">
        <v>968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S9" s="92"/>
      <c r="T9" s="33"/>
    </row>
    <row r="10" spans="1:20" ht="12.75">
      <c r="A10" t="s">
        <v>494</v>
      </c>
      <c r="B10" s="4">
        <v>51.21</v>
      </c>
      <c r="C10" s="2">
        <v>8554</v>
      </c>
      <c r="D10" s="2">
        <v>10707</v>
      </c>
      <c r="E10" s="2">
        <v>14862</v>
      </c>
      <c r="F10" s="2">
        <v>14198</v>
      </c>
      <c r="G10" s="2">
        <v>15113</v>
      </c>
      <c r="H10" s="2">
        <v>15805</v>
      </c>
      <c r="I10" s="2">
        <v>13484</v>
      </c>
      <c r="J10" s="2">
        <v>17111</v>
      </c>
      <c r="K10" s="2">
        <v>20055</v>
      </c>
      <c r="L10" s="2">
        <v>21313</v>
      </c>
      <c r="M10" s="2">
        <v>9035.88</v>
      </c>
      <c r="N10" s="2">
        <f>+M10/$M$3*12</f>
        <v>18071.76</v>
      </c>
      <c r="O10" s="31">
        <v>24000</v>
      </c>
      <c r="P10" s="31">
        <f>5*4920</f>
        <v>24600</v>
      </c>
      <c r="Q10" s="31">
        <f>5*4920</f>
        <v>24600</v>
      </c>
      <c r="R10" s="31">
        <v>24600</v>
      </c>
      <c r="S10" s="92">
        <f>(R10-O10)/O10</f>
        <v>0.025</v>
      </c>
      <c r="T10" s="33" t="s">
        <v>825</v>
      </c>
    </row>
    <row r="11" spans="1:20" ht="12.75">
      <c r="A11" t="s">
        <v>139</v>
      </c>
      <c r="B11" s="4">
        <v>51.22</v>
      </c>
      <c r="C11" s="2">
        <v>8290</v>
      </c>
      <c r="D11" s="2">
        <v>9431</v>
      </c>
      <c r="E11" s="2">
        <v>10050</v>
      </c>
      <c r="F11" s="2">
        <v>11671</v>
      </c>
      <c r="G11" s="2">
        <v>11753</v>
      </c>
      <c r="H11" s="2">
        <v>12519</v>
      </c>
      <c r="I11" s="2">
        <v>10355</v>
      </c>
      <c r="J11" s="2">
        <v>10548</v>
      </c>
      <c r="K11" s="2">
        <v>10813</v>
      </c>
      <c r="L11" s="2">
        <v>11052.49</v>
      </c>
      <c r="M11" s="2">
        <v>5210.29</v>
      </c>
      <c r="N11" s="2">
        <f>(N7+N8)*0.0765</f>
        <v>10927.319669999999</v>
      </c>
      <c r="O11" s="2">
        <v>12886.919955</v>
      </c>
      <c r="P11" s="31">
        <f>(P7+P9)*0.0765</f>
        <v>12423.370499999999</v>
      </c>
      <c r="Q11" s="31">
        <f>(Q7+Q9)*0.0765</f>
        <v>12423.37356</v>
      </c>
      <c r="R11" s="2">
        <v>12423.37356</v>
      </c>
      <c r="S11" s="92">
        <f>(R11-O11)/O11</f>
        <v>-0.03597030140783546</v>
      </c>
      <c r="T11" s="33"/>
    </row>
    <row r="12" spans="1:19" ht="12.75">
      <c r="A12" t="s">
        <v>153</v>
      </c>
      <c r="B12" s="4">
        <v>51.24</v>
      </c>
      <c r="C12" s="2">
        <v>1980</v>
      </c>
      <c r="D12" s="2">
        <v>2072</v>
      </c>
      <c r="E12" s="2">
        <v>2319</v>
      </c>
      <c r="F12" s="2">
        <v>2621</v>
      </c>
      <c r="G12" s="2">
        <v>2700</v>
      </c>
      <c r="H12" s="2">
        <v>3037</v>
      </c>
      <c r="I12" s="2">
        <v>1493</v>
      </c>
      <c r="J12" s="2">
        <v>1991</v>
      </c>
      <c r="K12" s="2">
        <v>3068</v>
      </c>
      <c r="L12" s="2">
        <v>2818</v>
      </c>
      <c r="M12" s="2">
        <v>935.69</v>
      </c>
      <c r="N12" s="2">
        <f>+M12/$M$3*12</f>
        <v>1871.38</v>
      </c>
      <c r="O12" s="2">
        <v>4200</v>
      </c>
      <c r="P12" s="2">
        <v>4800</v>
      </c>
      <c r="Q12" s="2">
        <v>4800</v>
      </c>
      <c r="R12" s="2">
        <v>4800</v>
      </c>
      <c r="S12" s="92">
        <f>(R12-O12)/O12</f>
        <v>0.14285714285714285</v>
      </c>
    </row>
    <row r="13" spans="1:19" ht="12.75">
      <c r="A13" t="s">
        <v>740</v>
      </c>
      <c r="B13" s="4">
        <v>51.26</v>
      </c>
      <c r="C13" s="2"/>
      <c r="D13" s="2"/>
      <c r="E13" s="2"/>
      <c r="F13" s="2"/>
      <c r="G13" s="2"/>
      <c r="H13" s="2"/>
      <c r="I13" s="2"/>
      <c r="J13" s="2">
        <v>3262</v>
      </c>
      <c r="K13" s="2"/>
      <c r="L13" s="2"/>
      <c r="M13" s="2"/>
      <c r="N13" s="2"/>
      <c r="O13" s="2"/>
      <c r="P13" s="2"/>
      <c r="Q13" s="2"/>
      <c r="R13" s="2"/>
      <c r="S13" s="92"/>
    </row>
    <row r="14" spans="2:19" ht="12.75">
      <c r="B14" s="4"/>
      <c r="C14" s="2"/>
      <c r="D14" s="2"/>
      <c r="E14" s="2"/>
      <c r="F14" s="2"/>
      <c r="G14" s="2"/>
      <c r="H14" s="2"/>
      <c r="I14" s="2"/>
      <c r="J14" s="2">
        <v>208</v>
      </c>
      <c r="K14" s="2"/>
      <c r="L14" s="2"/>
      <c r="M14" s="2"/>
      <c r="N14" s="2"/>
      <c r="P14" s="2"/>
      <c r="S14" s="92"/>
    </row>
    <row r="15" spans="1:20" ht="12.75">
      <c r="A15" t="s">
        <v>206</v>
      </c>
      <c r="B15" s="4">
        <v>52.121</v>
      </c>
      <c r="C15" s="2"/>
      <c r="D15" s="2"/>
      <c r="E15" s="2"/>
      <c r="F15" s="2"/>
      <c r="G15" s="2"/>
      <c r="H15" s="2"/>
      <c r="I15" s="2">
        <f>1601+542</f>
        <v>2143</v>
      </c>
      <c r="J15" s="2">
        <v>2801</v>
      </c>
      <c r="K15" s="2">
        <v>3137</v>
      </c>
      <c r="L15" s="2">
        <v>2209</v>
      </c>
      <c r="M15" s="2">
        <v>1209</v>
      </c>
      <c r="N15" s="2">
        <f aca="true" t="shared" si="0" ref="N15:N20">+M15/$M$3*12</f>
        <v>2418</v>
      </c>
      <c r="O15">
        <v>1000</v>
      </c>
      <c r="P15" s="2">
        <v>5000</v>
      </c>
      <c r="Q15" s="2">
        <v>2500</v>
      </c>
      <c r="R15" s="2">
        <v>2500</v>
      </c>
      <c r="S15" s="92"/>
      <c r="T15" s="2"/>
    </row>
    <row r="16" spans="1:19" ht="12.75">
      <c r="A16" t="s">
        <v>572</v>
      </c>
      <c r="B16" s="4">
        <v>52.1211</v>
      </c>
      <c r="C16" s="2"/>
      <c r="D16" s="2"/>
      <c r="E16" s="2"/>
      <c r="F16" s="2"/>
      <c r="G16" s="2"/>
      <c r="H16" s="2"/>
      <c r="I16" s="2">
        <v>3082</v>
      </c>
      <c r="J16" s="2"/>
      <c r="K16" s="2"/>
      <c r="L16" s="2">
        <v>1190</v>
      </c>
      <c r="M16" s="2"/>
      <c r="N16" s="2"/>
      <c r="O16" s="2"/>
      <c r="P16" s="2"/>
      <c r="Q16" s="2"/>
      <c r="R16" s="2"/>
      <c r="S16" s="92"/>
    </row>
    <row r="17" spans="1:19" ht="12.75">
      <c r="A17" t="s">
        <v>57</v>
      </c>
      <c r="B17" s="4">
        <v>52.1302</v>
      </c>
      <c r="C17" s="2"/>
      <c r="D17" s="2"/>
      <c r="E17" s="2"/>
      <c r="F17" s="2"/>
      <c r="G17" s="2">
        <v>685</v>
      </c>
      <c r="H17" s="2"/>
      <c r="I17" s="2">
        <v>3090</v>
      </c>
      <c r="J17" s="2"/>
      <c r="K17" s="2"/>
      <c r="L17" s="2">
        <v>1545</v>
      </c>
      <c r="M17" s="2"/>
      <c r="N17" s="2">
        <f t="shared" si="0"/>
        <v>0</v>
      </c>
      <c r="P17" s="2">
        <v>1200</v>
      </c>
      <c r="S17" s="92"/>
    </row>
    <row r="18" spans="1:19" ht="12.75" hidden="1">
      <c r="A18" t="s">
        <v>160</v>
      </c>
      <c r="B18" s="4">
        <v>52.1305</v>
      </c>
      <c r="C18" s="2"/>
      <c r="D18" s="2"/>
      <c r="E18" s="2">
        <v>791</v>
      </c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  <c r="P18" s="2"/>
      <c r="S18" s="92"/>
    </row>
    <row r="19" spans="1:19" ht="12.75">
      <c r="A19" t="s">
        <v>161</v>
      </c>
      <c r="B19" s="4">
        <v>52.131</v>
      </c>
      <c r="C19" s="2">
        <v>3232</v>
      </c>
      <c r="D19" s="2">
        <v>2488</v>
      </c>
      <c r="E19" s="2">
        <v>9004</v>
      </c>
      <c r="F19" s="2">
        <v>14311</v>
      </c>
      <c r="G19" s="2">
        <v>16336</v>
      </c>
      <c r="H19" s="2">
        <v>16553</v>
      </c>
      <c r="I19" s="2">
        <v>20343</v>
      </c>
      <c r="J19" s="2">
        <v>16877</v>
      </c>
      <c r="K19" s="2">
        <v>19971</v>
      </c>
      <c r="L19" s="2">
        <v>17642</v>
      </c>
      <c r="M19" s="2">
        <v>15103.09</v>
      </c>
      <c r="N19" s="2">
        <v>18000</v>
      </c>
      <c r="O19" s="2">
        <v>18000</v>
      </c>
      <c r="P19" s="2">
        <v>24000</v>
      </c>
      <c r="Q19" s="2">
        <v>18000</v>
      </c>
      <c r="R19" s="2">
        <v>18000</v>
      </c>
      <c r="S19" s="92">
        <f>(R19-O19)/O19</f>
        <v>0</v>
      </c>
    </row>
    <row r="20" spans="1:19" ht="12.75">
      <c r="A20" t="s">
        <v>170</v>
      </c>
      <c r="B20" s="4">
        <v>52.1312</v>
      </c>
      <c r="C20" s="2"/>
      <c r="D20" s="2"/>
      <c r="E20" s="2">
        <v>297</v>
      </c>
      <c r="F20" s="2">
        <v>648</v>
      </c>
      <c r="G20" s="2">
        <v>370</v>
      </c>
      <c r="H20" s="2">
        <v>924</v>
      </c>
      <c r="I20" s="2">
        <v>884</v>
      </c>
      <c r="J20" s="2">
        <v>1141</v>
      </c>
      <c r="K20" s="2">
        <v>1309</v>
      </c>
      <c r="L20" s="2">
        <v>1580</v>
      </c>
      <c r="M20" s="2">
        <v>228</v>
      </c>
      <c r="N20" s="2">
        <f t="shared" si="0"/>
        <v>456</v>
      </c>
      <c r="O20" s="2">
        <v>500</v>
      </c>
      <c r="P20" s="2">
        <v>1500</v>
      </c>
      <c r="Q20" s="2">
        <v>500</v>
      </c>
      <c r="R20" s="2">
        <v>800</v>
      </c>
      <c r="S20" s="92">
        <f>(R20-O20)/O20</f>
        <v>0.6</v>
      </c>
    </row>
    <row r="21" spans="1:19" ht="11.25" customHeight="1" hidden="1">
      <c r="A21" t="s">
        <v>490</v>
      </c>
      <c r="B21" s="4">
        <v>52.22</v>
      </c>
      <c r="C21" s="2"/>
      <c r="D21" s="2"/>
      <c r="E21" s="2"/>
      <c r="F21" s="2">
        <v>375</v>
      </c>
      <c r="G21" s="2"/>
      <c r="H21" s="2"/>
      <c r="I21" s="2"/>
      <c r="J21" s="2"/>
      <c r="K21" s="2"/>
      <c r="L21" s="2"/>
      <c r="M21" s="2"/>
      <c r="N21" s="2"/>
      <c r="P21" s="2"/>
      <c r="S21" s="92"/>
    </row>
    <row r="22" spans="1:19" ht="12.75" hidden="1">
      <c r="A22" t="s">
        <v>162</v>
      </c>
      <c r="B22" s="4">
        <v>52.2204</v>
      </c>
      <c r="C22" s="2">
        <v>759</v>
      </c>
      <c r="D22" s="2">
        <v>811</v>
      </c>
      <c r="E22" s="2">
        <v>378</v>
      </c>
      <c r="F22" s="2">
        <v>294</v>
      </c>
      <c r="G22" s="2">
        <v>234</v>
      </c>
      <c r="H22" s="2">
        <v>162</v>
      </c>
      <c r="I22" s="2"/>
      <c r="J22" s="2"/>
      <c r="K22" s="2"/>
      <c r="L22" s="2"/>
      <c r="M22" s="2"/>
      <c r="N22" s="2">
        <f aca="true" t="shared" si="1" ref="N22:N31">+M22/$M$3*12</f>
        <v>0</v>
      </c>
      <c r="O22" s="2"/>
      <c r="P22" s="2"/>
      <c r="Q22" s="2"/>
      <c r="R22" s="2"/>
      <c r="S22" s="92" t="e">
        <f>(R22-O22)/O22</f>
        <v>#DIV/0!</v>
      </c>
    </row>
    <row r="23" spans="1:19" ht="12.75" hidden="1">
      <c r="A23" t="s">
        <v>175</v>
      </c>
      <c r="B23" s="4">
        <v>52.2206</v>
      </c>
      <c r="C23" s="5"/>
      <c r="D23" s="2">
        <v>2000</v>
      </c>
      <c r="E23" s="5"/>
      <c r="F23" s="5"/>
      <c r="G23" s="2">
        <v>718</v>
      </c>
      <c r="H23" s="5"/>
      <c r="I23" s="5"/>
      <c r="J23" s="5"/>
      <c r="K23" s="5"/>
      <c r="L23" s="5"/>
      <c r="M23" s="5"/>
      <c r="N23" s="2">
        <f t="shared" si="1"/>
        <v>0</v>
      </c>
      <c r="P23" s="5"/>
      <c r="S23" s="92"/>
    </row>
    <row r="24" spans="1:19" ht="12.75">
      <c r="A24" t="s">
        <v>141</v>
      </c>
      <c r="B24" s="4">
        <v>52.32</v>
      </c>
      <c r="C24" s="2">
        <v>1799</v>
      </c>
      <c r="D24" s="2">
        <v>2232</v>
      </c>
      <c r="E24" s="2">
        <v>2206</v>
      </c>
      <c r="F24" s="2">
        <v>2421</v>
      </c>
      <c r="G24" s="2">
        <v>2427</v>
      </c>
      <c r="H24" s="2">
        <v>2351</v>
      </c>
      <c r="I24" s="2">
        <v>2588</v>
      </c>
      <c r="J24" s="2">
        <v>2468</v>
      </c>
      <c r="K24" s="2">
        <v>2360</v>
      </c>
      <c r="L24" s="2">
        <v>1265</v>
      </c>
      <c r="M24" s="2">
        <v>290.69</v>
      </c>
      <c r="N24" s="2">
        <f t="shared" si="1"/>
        <v>581.38</v>
      </c>
      <c r="O24" s="2">
        <v>1800</v>
      </c>
      <c r="P24" s="2">
        <v>2000</v>
      </c>
      <c r="Q24" s="2">
        <v>1300</v>
      </c>
      <c r="R24" s="2">
        <v>1300</v>
      </c>
      <c r="S24" s="92">
        <f>(R24-O24)/O24</f>
        <v>-0.2777777777777778</v>
      </c>
    </row>
    <row r="25" spans="1:19" ht="12.75">
      <c r="A25" t="s">
        <v>142</v>
      </c>
      <c r="B25" s="4">
        <v>52.321</v>
      </c>
      <c r="C25" s="2">
        <v>1308</v>
      </c>
      <c r="D25" s="2">
        <v>8846</v>
      </c>
      <c r="E25" s="2">
        <v>2556</v>
      </c>
      <c r="F25" s="2">
        <v>2044</v>
      </c>
      <c r="G25" s="2">
        <v>2457</v>
      </c>
      <c r="H25" s="2">
        <v>1925</v>
      </c>
      <c r="I25" s="2">
        <v>1791</v>
      </c>
      <c r="J25" s="2">
        <v>2761</v>
      </c>
      <c r="K25" s="2">
        <v>2670</v>
      </c>
      <c r="L25" s="2">
        <v>1758</v>
      </c>
      <c r="M25" s="2">
        <v>967</v>
      </c>
      <c r="N25" s="2">
        <f t="shared" si="1"/>
        <v>1934</v>
      </c>
      <c r="O25" s="2">
        <v>2200</v>
      </c>
      <c r="P25" s="2">
        <v>2711</v>
      </c>
      <c r="Q25" s="2">
        <v>2000</v>
      </c>
      <c r="R25" s="2">
        <v>2500</v>
      </c>
      <c r="S25" s="92">
        <f>(R25-O25)/O25</f>
        <v>0.13636363636363635</v>
      </c>
    </row>
    <row r="26" spans="1:20" ht="12.75">
      <c r="A26" t="s">
        <v>163</v>
      </c>
      <c r="B26" s="4">
        <v>52.33</v>
      </c>
      <c r="C26" s="2">
        <v>422</v>
      </c>
      <c r="D26" s="2">
        <v>250</v>
      </c>
      <c r="E26" s="2"/>
      <c r="F26" s="2">
        <v>-1394</v>
      </c>
      <c r="G26" s="2">
        <v>-148</v>
      </c>
      <c r="H26" s="2"/>
      <c r="I26" s="2"/>
      <c r="J26" s="2">
        <v>700</v>
      </c>
      <c r="K26" s="2">
        <f>3905+45</f>
        <v>3950</v>
      </c>
      <c r="L26" s="2">
        <v>1980</v>
      </c>
      <c r="M26" s="2">
        <v>0</v>
      </c>
      <c r="N26" s="2">
        <v>2000</v>
      </c>
      <c r="O26">
        <v>2500</v>
      </c>
      <c r="P26" s="2">
        <v>2000</v>
      </c>
      <c r="Q26" s="2">
        <v>2000</v>
      </c>
      <c r="R26" s="2">
        <v>2000</v>
      </c>
      <c r="S26" s="92"/>
      <c r="T26" t="s">
        <v>679</v>
      </c>
    </row>
    <row r="27" spans="1:20" ht="12.75">
      <c r="A27" t="s">
        <v>741</v>
      </c>
      <c r="B27" s="4">
        <v>52.3406</v>
      </c>
      <c r="C27" s="2">
        <v>9236</v>
      </c>
      <c r="D27" s="2">
        <v>10603</v>
      </c>
      <c r="E27" s="2">
        <v>12611</v>
      </c>
      <c r="F27" s="2">
        <v>6871</v>
      </c>
      <c r="G27" s="2">
        <v>7388</v>
      </c>
      <c r="H27" s="2"/>
      <c r="I27" s="2">
        <v>4222</v>
      </c>
      <c r="J27" s="2">
        <v>8264</v>
      </c>
      <c r="K27" s="2">
        <v>7984</v>
      </c>
      <c r="L27" s="2">
        <v>8346</v>
      </c>
      <c r="M27" s="2">
        <v>4059.39</v>
      </c>
      <c r="N27" s="2">
        <f t="shared" si="1"/>
        <v>8118.779999999999</v>
      </c>
      <c r="O27" s="2">
        <v>8000</v>
      </c>
      <c r="P27" s="2">
        <v>8400</v>
      </c>
      <c r="Q27" s="2">
        <v>8400</v>
      </c>
      <c r="R27" s="2">
        <v>8400</v>
      </c>
      <c r="S27" s="92">
        <f>(R27-O27)/O27</f>
        <v>0.05</v>
      </c>
      <c r="T27" t="s">
        <v>582</v>
      </c>
    </row>
    <row r="28" spans="1:19" ht="12.75">
      <c r="A28" t="s">
        <v>154</v>
      </c>
      <c r="B28" s="4">
        <v>52.35</v>
      </c>
      <c r="C28" s="2">
        <v>1760</v>
      </c>
      <c r="D28" s="2">
        <v>1478</v>
      </c>
      <c r="E28" s="2">
        <v>1012</v>
      </c>
      <c r="F28" s="2">
        <v>757</v>
      </c>
      <c r="G28" s="2">
        <v>248</v>
      </c>
      <c r="H28" s="2"/>
      <c r="I28" s="2">
        <v>1072</v>
      </c>
      <c r="J28" s="2">
        <v>54</v>
      </c>
      <c r="K28" s="2">
        <v>92</v>
      </c>
      <c r="L28" s="2">
        <v>32</v>
      </c>
      <c r="M28" s="2"/>
      <c r="N28" s="2"/>
      <c r="O28" s="2">
        <v>100</v>
      </c>
      <c r="P28" s="2"/>
      <c r="Q28" s="2"/>
      <c r="R28" s="2"/>
      <c r="S28" s="92">
        <f>(R28-O28)/O28</f>
        <v>-1</v>
      </c>
    </row>
    <row r="29" spans="1:19" ht="12.75">
      <c r="A29" t="s">
        <v>144</v>
      </c>
      <c r="B29" s="4">
        <v>52.3602</v>
      </c>
      <c r="C29" s="2">
        <v>250</v>
      </c>
      <c r="D29" s="2">
        <v>250</v>
      </c>
      <c r="E29" s="2">
        <v>250</v>
      </c>
      <c r="F29" s="2">
        <v>300</v>
      </c>
      <c r="G29" s="2">
        <v>100</v>
      </c>
      <c r="H29" s="2">
        <v>200</v>
      </c>
      <c r="I29" s="2">
        <v>300</v>
      </c>
      <c r="J29" s="2">
        <v>300</v>
      </c>
      <c r="K29" s="2">
        <v>200</v>
      </c>
      <c r="L29" s="2">
        <v>200</v>
      </c>
      <c r="M29" s="2">
        <v>300</v>
      </c>
      <c r="N29" s="2">
        <v>300</v>
      </c>
      <c r="O29" s="2">
        <v>200</v>
      </c>
      <c r="P29" s="2">
        <v>300</v>
      </c>
      <c r="Q29" s="2">
        <v>200</v>
      </c>
      <c r="R29" s="2">
        <v>200</v>
      </c>
      <c r="S29" s="92">
        <f>(R29-O29)/O29</f>
        <v>0</v>
      </c>
    </row>
    <row r="30" spans="1:19" ht="12.75">
      <c r="A30" t="s">
        <v>155</v>
      </c>
      <c r="B30" s="4">
        <v>52.37</v>
      </c>
      <c r="C30" s="2"/>
      <c r="D30" s="2"/>
      <c r="E30" s="2">
        <v>945</v>
      </c>
      <c r="F30" s="2">
        <v>670</v>
      </c>
      <c r="G30" s="2">
        <v>775</v>
      </c>
      <c r="H30" s="2">
        <v>460</v>
      </c>
      <c r="I30" s="2"/>
      <c r="J30" s="2"/>
      <c r="K30" s="2">
        <v>525</v>
      </c>
      <c r="L30" s="2">
        <v>395</v>
      </c>
      <c r="M30" s="2">
        <v>740</v>
      </c>
      <c r="N30" s="2">
        <v>740</v>
      </c>
      <c r="O30" s="2">
        <v>300</v>
      </c>
      <c r="P30" s="2">
        <v>800</v>
      </c>
      <c r="Q30" s="2">
        <v>300</v>
      </c>
      <c r="R30" s="2">
        <v>300</v>
      </c>
      <c r="S30" s="92">
        <f>(R30-O30)/O30</f>
        <v>0</v>
      </c>
    </row>
    <row r="31" spans="1:19" ht="12.75">
      <c r="A31" t="s">
        <v>149</v>
      </c>
      <c r="B31" s="4">
        <v>53.171</v>
      </c>
      <c r="C31" s="2">
        <v>3340</v>
      </c>
      <c r="D31" s="2">
        <v>3361</v>
      </c>
      <c r="E31" s="2">
        <v>1868</v>
      </c>
      <c r="F31" s="2">
        <v>2029</v>
      </c>
      <c r="G31" s="2">
        <v>3253</v>
      </c>
      <c r="H31" s="2">
        <v>2442</v>
      </c>
      <c r="I31" s="2">
        <v>4386</v>
      </c>
      <c r="J31" s="2">
        <v>3235</v>
      </c>
      <c r="K31" s="2">
        <v>3592</v>
      </c>
      <c r="L31" s="2">
        <v>2967</v>
      </c>
      <c r="M31" s="2">
        <v>1535.9</v>
      </c>
      <c r="N31" s="2">
        <f t="shared" si="1"/>
        <v>3071.8</v>
      </c>
      <c r="O31" s="2">
        <v>2400</v>
      </c>
      <c r="P31" s="2">
        <v>2400</v>
      </c>
      <c r="Q31" s="2">
        <v>2400</v>
      </c>
      <c r="R31" s="2">
        <v>2400</v>
      </c>
      <c r="S31" s="92">
        <f>(R31-O31)/O31</f>
        <v>0</v>
      </c>
    </row>
    <row r="32" spans="1:19" ht="12.75">
      <c r="A32" t="s">
        <v>282</v>
      </c>
      <c r="B32" s="4">
        <v>53.175</v>
      </c>
      <c r="C32" s="2"/>
      <c r="D32" s="2"/>
      <c r="E32" s="2"/>
      <c r="F32" s="2"/>
      <c r="G32" s="2"/>
      <c r="H32" s="2"/>
      <c r="I32" s="2"/>
      <c r="J32" s="2"/>
      <c r="K32" s="2">
        <v>99</v>
      </c>
      <c r="L32" s="2"/>
      <c r="M32" s="2">
        <v>30</v>
      </c>
      <c r="N32" s="2">
        <v>30</v>
      </c>
      <c r="O32" s="2"/>
      <c r="P32" s="2"/>
      <c r="Q32" s="2"/>
      <c r="R32" s="2"/>
      <c r="S32" s="92"/>
    </row>
    <row r="33" spans="2:19" ht="12.75"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2"/>
    </row>
    <row r="34" spans="1:20" ht="12.75">
      <c r="A34" t="s">
        <v>408</v>
      </c>
      <c r="B34" s="4">
        <v>54.24</v>
      </c>
      <c r="C34" s="2"/>
      <c r="D34" s="2"/>
      <c r="E34" s="2"/>
      <c r="F34" s="2">
        <v>690</v>
      </c>
      <c r="G34" s="2">
        <v>750</v>
      </c>
      <c r="H34" s="2">
        <v>1275</v>
      </c>
      <c r="I34" s="2">
        <v>3539</v>
      </c>
      <c r="J34" s="2"/>
      <c r="K34" s="2">
        <v>27429</v>
      </c>
      <c r="L34" s="2"/>
      <c r="M34" s="2"/>
      <c r="N34" s="2"/>
      <c r="O34" s="2"/>
      <c r="P34" s="2"/>
      <c r="Q34" s="2"/>
      <c r="R34" s="2"/>
      <c r="S34" s="92"/>
      <c r="T34" s="33"/>
    </row>
    <row r="35" spans="1:19" ht="12.75" hidden="1">
      <c r="A35" t="s">
        <v>164</v>
      </c>
      <c r="B35" s="4">
        <v>54.23</v>
      </c>
      <c r="C35" s="5"/>
      <c r="D35" s="2">
        <v>3080</v>
      </c>
      <c r="E35" s="5">
        <v>2445</v>
      </c>
      <c r="F35" s="5"/>
      <c r="G35" s="5"/>
      <c r="H35" s="5"/>
      <c r="I35" s="5"/>
      <c r="J35" s="5"/>
      <c r="K35" s="5"/>
      <c r="L35" s="5"/>
      <c r="M35" s="5"/>
      <c r="N35" s="2">
        <f>+M35/$M$3*12</f>
        <v>0</v>
      </c>
      <c r="P35" s="2"/>
      <c r="S35" s="92"/>
    </row>
    <row r="36" spans="1:19" ht="12.75">
      <c r="A36" t="s">
        <v>659</v>
      </c>
      <c r="D36" s="2"/>
      <c r="J36">
        <v>19945</v>
      </c>
      <c r="K36" s="2">
        <v>4235</v>
      </c>
      <c r="L36" s="2">
        <v>2659</v>
      </c>
      <c r="M36" s="2">
        <v>1526</v>
      </c>
      <c r="N36" s="2">
        <f>+M36/$M$3*12</f>
        <v>3052</v>
      </c>
      <c r="O36">
        <v>2000</v>
      </c>
      <c r="P36" s="18">
        <v>3000</v>
      </c>
      <c r="Q36" s="2">
        <v>3000</v>
      </c>
      <c r="R36" s="2">
        <v>3000</v>
      </c>
      <c r="S36" s="92"/>
    </row>
    <row r="37" spans="1:20" ht="12.75">
      <c r="A37" t="s">
        <v>322</v>
      </c>
      <c r="B37" s="4">
        <v>54.25</v>
      </c>
      <c r="C37" s="5"/>
      <c r="D37" s="2">
        <v>4420</v>
      </c>
      <c r="E37" s="5"/>
      <c r="F37" s="5"/>
      <c r="G37" s="5"/>
      <c r="H37" s="2">
        <v>1532</v>
      </c>
      <c r="I37" s="5"/>
      <c r="J37" s="5"/>
      <c r="K37" s="5"/>
      <c r="L37" s="5"/>
      <c r="M37" s="5"/>
      <c r="N37" s="2">
        <f>+M37/$M$3*12</f>
        <v>0</v>
      </c>
      <c r="O37" s="2"/>
      <c r="P37" s="2"/>
      <c r="Q37" s="2"/>
      <c r="R37" s="2"/>
      <c r="S37" s="92"/>
      <c r="T37" s="33"/>
    </row>
    <row r="38" spans="1:20" ht="12.75">
      <c r="A38" t="s">
        <v>966</v>
      </c>
      <c r="B38" s="4">
        <v>53.1737</v>
      </c>
      <c r="C38" s="5"/>
      <c r="D38" s="2"/>
      <c r="E38" s="5"/>
      <c r="F38" s="5"/>
      <c r="G38" s="5"/>
      <c r="H38" s="2"/>
      <c r="I38" s="5"/>
      <c r="J38" s="5"/>
      <c r="K38" s="5"/>
      <c r="L38" s="5">
        <v>292</v>
      </c>
      <c r="M38" s="5"/>
      <c r="N38" s="2"/>
      <c r="O38" s="2"/>
      <c r="P38" s="2"/>
      <c r="Q38" s="2"/>
      <c r="R38" s="2"/>
      <c r="S38" s="92"/>
      <c r="T38" s="33"/>
    </row>
    <row r="39" spans="1:20" ht="12.75">
      <c r="A39" t="s">
        <v>58</v>
      </c>
      <c r="B39" s="4"/>
      <c r="C39" s="5"/>
      <c r="D39" s="2"/>
      <c r="E39" s="5"/>
      <c r="F39" s="5"/>
      <c r="G39" s="5"/>
      <c r="H39" s="2"/>
      <c r="I39" s="5"/>
      <c r="J39" s="5"/>
      <c r="K39" s="5"/>
      <c r="L39" s="5">
        <v>26</v>
      </c>
      <c r="M39" s="5"/>
      <c r="N39" s="2"/>
      <c r="O39" s="2"/>
      <c r="P39" s="2"/>
      <c r="Q39" s="2"/>
      <c r="R39" s="2"/>
      <c r="S39" s="92"/>
      <c r="T39" s="33"/>
    </row>
    <row r="40" spans="2:19" ht="12.75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>+M40/$M$3*12</f>
        <v>0</v>
      </c>
      <c r="O40" s="2"/>
      <c r="P40" s="2"/>
      <c r="Q40" s="2"/>
      <c r="R40" s="2"/>
      <c r="S40" s="93">
        <f>IF(R40="","",+R40-$O40)</f>
      </c>
    </row>
    <row r="41" spans="1:19" ht="12.75">
      <c r="A41" s="6" t="s">
        <v>116</v>
      </c>
      <c r="B41" s="6"/>
      <c r="C41" s="7">
        <f aca="true" t="shared" si="2" ref="C41:N41">SUM(C7:C40)</f>
        <v>149863</v>
      </c>
      <c r="D41" s="8">
        <f t="shared" si="2"/>
        <v>185873</v>
      </c>
      <c r="E41" s="8">
        <f t="shared" si="2"/>
        <v>193528</v>
      </c>
      <c r="F41" s="8">
        <f t="shared" si="2"/>
        <v>210804</v>
      </c>
      <c r="G41" s="8">
        <f t="shared" si="2"/>
        <v>219949</v>
      </c>
      <c r="H41" s="8">
        <f t="shared" si="2"/>
        <v>224174</v>
      </c>
      <c r="I41" s="8">
        <f t="shared" si="2"/>
        <v>210499</v>
      </c>
      <c r="J41" s="8">
        <v>234447</v>
      </c>
      <c r="K41" s="8">
        <f t="shared" si="2"/>
        <v>256927</v>
      </c>
      <c r="L41" s="8">
        <v>229705</v>
      </c>
      <c r="M41" s="8">
        <f t="shared" si="2"/>
        <v>112591.31999999999</v>
      </c>
      <c r="N41" s="8">
        <f t="shared" si="2"/>
        <v>214413.19967</v>
      </c>
      <c r="O41" s="8">
        <f>SUM(O7:O40)</f>
        <v>248543.389955</v>
      </c>
      <c r="P41" s="8">
        <f>SUM(P7:P40)</f>
        <v>257531.3705</v>
      </c>
      <c r="Q41" s="8">
        <f>SUM(Q7:Q40)</f>
        <v>244820.41356000002</v>
      </c>
      <c r="R41" s="8">
        <f>SUM(R7:R40)</f>
        <v>245620.41356000002</v>
      </c>
      <c r="S41" s="94">
        <f>(R41-O41)/O41</f>
        <v>-0.011760427004432488</v>
      </c>
    </row>
    <row r="43" spans="15:17" ht="12.75">
      <c r="O43" s="22" t="s">
        <v>488</v>
      </c>
      <c r="P43" s="22"/>
      <c r="Q43" s="56">
        <f>P41-Q41</f>
        <v>12710.956939999975</v>
      </c>
    </row>
    <row r="44" spans="15:17" ht="12.75">
      <c r="O44" s="22" t="s">
        <v>761</v>
      </c>
      <c r="P44" s="22"/>
      <c r="Q44" s="56">
        <f>O41-Q41</f>
        <v>3722.976394999976</v>
      </c>
    </row>
    <row r="45" spans="15:17" ht="12.75">
      <c r="O45" s="22" t="s">
        <v>436</v>
      </c>
      <c r="P45" s="22"/>
      <c r="Q45" s="56">
        <f>Q41-R41</f>
        <v>-800</v>
      </c>
    </row>
    <row r="46" ht="12.75">
      <c r="A46" t="s">
        <v>850</v>
      </c>
    </row>
    <row r="49" spans="1:12" ht="12.75">
      <c r="A49" s="45" t="s">
        <v>658</v>
      </c>
      <c r="B49" s="42">
        <v>31.1391</v>
      </c>
      <c r="C49" s="43"/>
      <c r="D49" s="43">
        <v>2500</v>
      </c>
      <c r="E49" s="22" t="s">
        <v>557</v>
      </c>
      <c r="F49" s="22" t="s">
        <v>636</v>
      </c>
      <c r="G49" s="22"/>
      <c r="H49" s="22"/>
      <c r="I49" s="43">
        <f>2700+100</f>
        <v>2800</v>
      </c>
      <c r="J49" s="43">
        <v>3935</v>
      </c>
      <c r="K49" s="43">
        <v>4255</v>
      </c>
      <c r="L49" s="43">
        <v>3978</v>
      </c>
    </row>
    <row r="51" ht="12.75">
      <c r="A51" t="s">
        <v>31</v>
      </c>
    </row>
    <row r="53" spans="3:19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CO 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HART CO BOC</cp:lastModifiedBy>
  <cp:lastPrinted>2009-12-02T19:12:15Z</cp:lastPrinted>
  <dcterms:created xsi:type="dcterms:W3CDTF">2001-08-02T22:29:16Z</dcterms:created>
  <dcterms:modified xsi:type="dcterms:W3CDTF">2009-12-17T16:17:03Z</dcterms:modified>
  <cp:category/>
  <cp:version/>
  <cp:contentType/>
  <cp:contentStatus/>
</cp:coreProperties>
</file>