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3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4545" windowHeight="9645" tabRatio="599" activeTab="1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5000" sheetId="41" r:id="rId41"/>
    <sheet name="GF75630" sheetId="42" r:id="rId42"/>
    <sheet name="GF76300" sheetId="43" r:id="rId43"/>
    <sheet name="GF76400" sheetId="44" r:id="rId44"/>
    <sheet name="Benefits" sheetId="45" r:id="rId45"/>
    <sheet name="GF26000 legacy" sheetId="46" r:id="rId46"/>
    <sheet name="GF28110 legacy" sheetId="47" r:id="rId47"/>
    <sheet name="GF41000 legacy" sheetId="48" r:id="rId48"/>
    <sheet name="GF44100 legacy" sheetId="49" r:id="rId49"/>
    <sheet name="GF45410 legacy" sheetId="50" r:id="rId50"/>
    <sheet name="GF71400 legacy" sheetId="51" r:id="rId51"/>
  </sheets>
  <definedNames>
    <definedName name="_xlnm.Print_Titles" localSheetId="1">'GF Rev'!$2:$4</definedName>
    <definedName name="_xlnm.Print_Titles" localSheetId="3">'GF10000'!$3:$6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23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
Pers Property Audit FY12 add $500,000?</t>
        </r>
      </text>
    </comment>
    <comment ref="P33" authorId="2">
      <text>
        <r>
          <rPr>
            <b/>
            <sz val="8"/>
            <rFont val="Tahoma"/>
            <family val="0"/>
          </rPr>
          <t>include 1 month arrears at year end</t>
        </r>
      </text>
    </comment>
    <comment ref="Q77" authorId="2">
      <text>
        <r>
          <rPr>
            <b/>
            <sz val="8"/>
            <rFont val="Tahoma"/>
            <family val="0"/>
          </rPr>
          <t>paymenr  for FY11 may not be recd til 11/11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</authors>
  <commentList>
    <comment ref="W1" authorId="0">
      <text>
        <r>
          <rPr>
            <sz val="8"/>
            <rFont val="Tahoma"/>
            <family val="2"/>
          </rPr>
          <t>negative is an increase</t>
        </r>
      </text>
    </comment>
  </commentList>
</comments>
</file>

<file path=xl/comments35.xml><?xml version="1.0" encoding="utf-8"?>
<comments xmlns="http://schemas.openxmlformats.org/spreadsheetml/2006/main">
  <authors>
    <author> Jon Caime Hart County Administrator</author>
  </authors>
  <commentList>
    <comment ref="A7" authorId="0">
      <text>
        <r>
          <rPr>
            <b/>
            <sz val="8"/>
            <rFont val="Tahoma"/>
            <family val="0"/>
          </rPr>
          <t>full time director</t>
        </r>
      </text>
    </comment>
    <comment ref="A8" authorId="0">
      <text>
        <r>
          <rPr>
            <b/>
            <sz val="8"/>
            <rFont val="Tahoma"/>
            <family val="0"/>
          </rPr>
          <t>part time activities coordinator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R25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sharedStrings.xml><?xml version="1.0" encoding="utf-8"?>
<sst xmlns="http://schemas.openxmlformats.org/spreadsheetml/2006/main" count="3625" uniqueCount="1106">
  <si>
    <t>high costs for court appt attorney</t>
  </si>
  <si>
    <t>note 6: To help with Courthouse overcrowding issues, BOC desires to spread over FY11 and FY12</t>
  </si>
  <si>
    <t>personnel costs, capital</t>
  </si>
  <si>
    <t>note 3: Criminal Justice Software</t>
  </si>
  <si>
    <t>note 4: State budget cut funding for this expense so local expense will increase actual increase may be more than requested</t>
  </si>
  <si>
    <t>note 1:  COLA applied to eligible wages,</t>
  </si>
  <si>
    <t>note 1:  COLA applied to eligible wages</t>
  </si>
  <si>
    <t>expect decrease in appeals</t>
  </si>
  <si>
    <t>personnel costs, fuel</t>
  </si>
  <si>
    <t>note 3: costs shited to/from 204 SR Jail Fund acct depending on fund balance in that acct.</t>
  </si>
  <si>
    <t>personnel costs, meals</t>
  </si>
  <si>
    <t>note 3:  Requests two part time positions used for past 3 years be full time positions</t>
  </si>
  <si>
    <t>Note 4:  Wages are dependent on call volume with call back pay</t>
  </si>
  <si>
    <t>note 5:  see long range EMS capital replacement plan</t>
  </si>
  <si>
    <t>note 1,3</t>
  </si>
  <si>
    <t>note 1,3,4</t>
  </si>
  <si>
    <t>NO BUDGET REQUEST OR AUDIT SUBMITTED</t>
  </si>
  <si>
    <t>NOTE FY09, 10, 11, 12 Portions of wages paid from 203 Insurance Premium Fund</t>
  </si>
  <si>
    <t>note 3: BOC approved- full time secretary for fy11</t>
  </si>
  <si>
    <t>Note 3: Partially Legacy Link Grant Funded</t>
  </si>
  <si>
    <t>Note 4: 27.5 hours per week</t>
  </si>
  <si>
    <t>note 1,3, 4</t>
  </si>
  <si>
    <t>Note 5:  Fully Legacy Grant Funding, Actual amount will be determined by grant funds available</t>
  </si>
  <si>
    <t>note 6;  Salary reduced by amount reimbursed by transit grant see 55400</t>
  </si>
  <si>
    <t>note 1,3,6</t>
  </si>
  <si>
    <t>Note 2:  FY11 new line item to capture costs for maintenance for grant reimbursement</t>
  </si>
  <si>
    <t>second year of restructurig</t>
  </si>
  <si>
    <t>Note 3: dept requests additional full time position</t>
  </si>
  <si>
    <t>note 4: depends on participate #'s. Revenue generator</t>
  </si>
  <si>
    <t xml:space="preserve">note 5 prgram has been cancleled past two years due to low participation </t>
  </si>
  <si>
    <t>rev/exp ratio</t>
  </si>
  <si>
    <t xml:space="preserve">note 2,3 </t>
  </si>
  <si>
    <t>Note 3;  FY11 BOC authorized FT position addition</t>
  </si>
  <si>
    <t>note 4: dept needs to look at reducing this line item</t>
  </si>
  <si>
    <t>note 5 UGA match on compuer equipment</t>
  </si>
  <si>
    <t>note 3:  Expenses moved to 110 acct FY09</t>
  </si>
  <si>
    <t>note 4: chamber of commerce manages these funds, annual budget agreed to by BOC fy10</t>
  </si>
  <si>
    <t>note 5:This was funded from Econ. Dev. Fund 2004-2009</t>
  </si>
  <si>
    <t>coc and tourism not yet included</t>
  </si>
  <si>
    <t>no budget request submitted</t>
  </si>
  <si>
    <t>Mega Ramp O&amp;M</t>
  </si>
  <si>
    <t>Runoff</t>
  </si>
  <si>
    <t xml:space="preserve">Hart Partners Work Ready </t>
  </si>
  <si>
    <t>Contract Personal Property Audit</t>
  </si>
  <si>
    <t>FY11</t>
  </si>
  <si>
    <t>Projected-</t>
  </si>
  <si>
    <t>under budget</t>
  </si>
  <si>
    <t>Wages/part time</t>
  </si>
  <si>
    <t>COC Tourism Director</t>
  </si>
  <si>
    <t>Sheriff Car/ARRA Grant</t>
  </si>
  <si>
    <t>B'ville investigation</t>
  </si>
  <si>
    <t>Pandemic Flu Grant Expens</t>
  </si>
  <si>
    <t>budget rev.:</t>
  </si>
  <si>
    <t>Animal Shelter Grant</t>
  </si>
  <si>
    <t>Animal Shelter Construction</t>
  </si>
  <si>
    <t>franklin co not contributing anymore</t>
  </si>
  <si>
    <t>Lake Hartwell Economic Impact Study</t>
  </si>
  <si>
    <t>addressing fee</t>
  </si>
  <si>
    <t>PROGRAM DEAD</t>
  </si>
  <si>
    <t>Note 1: move to ins. Premium for FY09</t>
  </si>
  <si>
    <t>Base Wages- Registrars</t>
  </si>
  <si>
    <t>Achievers Inc Grant</t>
  </si>
  <si>
    <t>dead program</t>
  </si>
  <si>
    <t>Stuctural improvements Shelter</t>
  </si>
  <si>
    <t>Shelter Replacement</t>
  </si>
  <si>
    <t xml:space="preserve">note: "speculation" means that at this point we do not know more firm numbers for insurance. Actual numbers become more concrete when new policy received first quarter of next fiscal year </t>
  </si>
  <si>
    <t>ODP/911 EQUIPMT</t>
  </si>
  <si>
    <t>REC (BOC)</t>
  </si>
  <si>
    <t>Interest Pinnacle</t>
  </si>
  <si>
    <t>note 1: this is now a revenue only for BOC transit program</t>
  </si>
  <si>
    <t>DFACs Trans Grant</t>
  </si>
  <si>
    <t>Building repairs</t>
  </si>
  <si>
    <t>budgeted deficit:</t>
  </si>
  <si>
    <t>Misc Insurance Claims</t>
  </si>
  <si>
    <t>09-10</t>
  </si>
  <si>
    <t>Athens Digital</t>
  </si>
  <si>
    <t>Translater</t>
  </si>
  <si>
    <t>Software Maint</t>
  </si>
  <si>
    <t>Sherirr/Tax Building</t>
  </si>
  <si>
    <t>Structure moving escort</t>
  </si>
  <si>
    <t>Elbert/Juv Judge</t>
  </si>
  <si>
    <t>08-09</t>
  </si>
  <si>
    <t>lowered coverage</t>
  </si>
  <si>
    <t>lowered coverage actual rate change was 11%</t>
  </si>
  <si>
    <t>FY10</t>
  </si>
  <si>
    <t>H606</t>
  </si>
  <si>
    <t>Court order 1/09-12/31/12</t>
  </si>
  <si>
    <t>see notes</t>
  </si>
  <si>
    <t>Judge supplement raised to $68,000 added part time judge at $17,000</t>
  </si>
  <si>
    <t>notes</t>
  </si>
  <si>
    <t>costs offset by State "grant" of $51,000, remaining costs shared by Elbert, Franklin, Oglethorpe and Madison Counties</t>
  </si>
  <si>
    <t>program moved to another county fy10 see 26000</t>
  </si>
  <si>
    <t>Note:  Hart County has managed this for the participating counties for 8 years.  Program is being moved to another county fy10 will result in lower cost to Hart</t>
  </si>
  <si>
    <t>elim line item fy10</t>
  </si>
  <si>
    <t>Court Equip Maint</t>
  </si>
  <si>
    <t>note 1:  State charges for use of prison crew.  We applied and received exemption in FY05, 06,07, 08, 09 and 10</t>
  </si>
  <si>
    <t>Part Time Wages</t>
  </si>
  <si>
    <t>map plotter</t>
  </si>
  <si>
    <t>Rent Contract Reval Office space</t>
  </si>
  <si>
    <t>ESRI Training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</si>
  <si>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</si>
  <si>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</si>
  <si>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</si>
  <si>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</si>
  <si>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</si>
  <si>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</si>
  <si>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</si>
  <si>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</si>
  <si>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</si>
  <si>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</si>
  <si>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</si>
  <si>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</si>
  <si>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</si>
  <si>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</si>
  <si>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</si>
  <si>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</si>
  <si>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</si>
  <si>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</si>
  <si>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</si>
  <si>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</si>
  <si>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</si>
  <si>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</si>
  <si>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</si>
  <si>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</si>
  <si>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</si>
  <si>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</si>
  <si>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</si>
  <si>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</si>
  <si>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</si>
  <si>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</si>
  <si>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</si>
  <si>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</si>
  <si>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</si>
  <si>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</si>
  <si>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</si>
  <si>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</si>
  <si>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</si>
  <si>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</si>
  <si>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</si>
  <si>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</si>
  <si>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</si>
  <si>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</si>
  <si>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</si>
  <si>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</si>
  <si>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</si>
  <si>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</si>
  <si>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</si>
  <si>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</si>
  <si>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</si>
  <si>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</si>
  <si>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</si>
  <si>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</si>
  <si>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</si>
  <si>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</si>
  <si>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</si>
  <si>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</si>
  <si>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</si>
  <si>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</si>
  <si>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</si>
  <si>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</si>
  <si>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</si>
  <si>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</si>
  <si>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</si>
  <si>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</si>
  <si>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</si>
  <si>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</si>
  <si>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</si>
  <si>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</si>
  <si>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</si>
  <si>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</si>
  <si>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</si>
  <si>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</si>
  <si>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</si>
  <si>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</si>
  <si>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</si>
  <si>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</si>
  <si>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</si>
  <si>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</si>
  <si>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</si>
  <si>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</si>
  <si>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</si>
  <si>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</si>
  <si>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</si>
  <si>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</si>
  <si>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</si>
  <si>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</si>
  <si>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</si>
  <si>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</si>
  <si>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</si>
  <si>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</si>
  <si>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</si>
  <si>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</si>
  <si>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</si>
  <si>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</si>
  <si>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</si>
  <si>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</si>
  <si>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</si>
  <si>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</si>
  <si>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</si>
  <si>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</si>
  <si>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</si>
  <si>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</si>
  <si>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</si>
  <si>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</si>
  <si>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</si>
  <si>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</si>
  <si>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</si>
  <si>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</si>
  <si>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</si>
  <si>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</si>
  <si>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</si>
  <si>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</si>
  <si>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</si>
  <si>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</si>
  <si>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</si>
  <si>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</si>
  <si>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</si>
  <si>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</si>
  <si>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</si>
  <si>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</si>
  <si>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</si>
  <si>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</si>
  <si>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</si>
  <si>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</si>
  <si>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</si>
  <si>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</si>
  <si>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</si>
  <si>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</si>
  <si>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</si>
  <si>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</si>
  <si>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</si>
  <si>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</si>
  <si>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</si>
  <si>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</si>
  <si>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</si>
  <si>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</si>
  <si>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</si>
  <si>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</si>
  <si>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</si>
  <si>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</si>
  <si>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</si>
  <si>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</si>
  <si>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</si>
  <si>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</si>
  <si>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</si>
  <si>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</si>
  <si>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</si>
  <si>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</si>
  <si>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</si>
  <si>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</si>
  <si>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</si>
  <si>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</si>
  <si>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Technical/Douglas Software</t>
  </si>
  <si>
    <t>Site improvements</t>
  </si>
  <si>
    <t>Other supplies</t>
  </si>
  <si>
    <t>Capital/communication radios</t>
  </si>
  <si>
    <t>Highways &amp; Streets</t>
  </si>
  <si>
    <t>Bushhog R-O-W</t>
  </si>
  <si>
    <t>Bldgs/grounds supplies</t>
  </si>
  <si>
    <t>Grader blades</t>
  </si>
  <si>
    <t>Machinery</t>
  </si>
  <si>
    <t>Dues/Membership</t>
  </si>
  <si>
    <t>Adopt-A-Highway Dinner</t>
  </si>
  <si>
    <t>Office Supplies</t>
  </si>
  <si>
    <t>Display Materials</t>
  </si>
  <si>
    <t>Adopt-A-Highway Signs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</si>
  <si>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</si>
  <si>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</si>
  <si>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</si>
  <si>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</si>
  <si>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</si>
  <si>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</si>
  <si>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</si>
  <si>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</si>
  <si>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</si>
  <si>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</si>
  <si>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</si>
  <si>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</si>
  <si>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</si>
  <si>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</si>
  <si>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</si>
  <si>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</si>
  <si>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</si>
  <si>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</si>
  <si>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</si>
  <si>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</si>
  <si>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</si>
  <si>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</si>
  <si>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</si>
  <si>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</si>
  <si>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</si>
  <si>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</si>
  <si>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</si>
  <si>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</si>
  <si>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</si>
  <si>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</si>
  <si>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</si>
  <si>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</si>
  <si>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</si>
  <si>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</si>
  <si>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</si>
  <si>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</si>
  <si>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</si>
  <si>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</si>
  <si>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</si>
  <si>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</si>
  <si>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</si>
  <si>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</si>
  <si>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</si>
  <si>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</si>
  <si>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</si>
  <si>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</si>
  <si>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</si>
  <si>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</si>
  <si>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</si>
  <si>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</si>
  <si>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</si>
  <si>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</si>
  <si>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</si>
  <si>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</si>
  <si>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</si>
  <si>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</si>
  <si>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</si>
  <si>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</si>
  <si>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</si>
  <si>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Misc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</si>
  <si>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</si>
  <si>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</si>
  <si>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</si>
  <si>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</si>
  <si>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</si>
  <si>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</si>
  <si>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</si>
  <si>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</si>
  <si>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</si>
  <si>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</si>
  <si>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</si>
  <si>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</si>
  <si>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</si>
  <si>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</si>
  <si>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</si>
  <si>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Number of FT Employees</t>
  </si>
  <si>
    <t>TOTAL EXPENSES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</si>
  <si>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</si>
  <si>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</si>
  <si>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</si>
  <si>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</si>
  <si>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</si>
  <si>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</si>
  <si>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</si>
  <si>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</si>
  <si>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</si>
  <si>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</si>
  <si>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</si>
  <si>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</si>
  <si>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</si>
  <si>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</si>
  <si>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</si>
  <si>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</si>
  <si>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</si>
  <si>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</si>
  <si>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</si>
  <si>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</si>
  <si>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</si>
  <si>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</si>
  <si>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</si>
  <si>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</si>
  <si>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</si>
  <si>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</si>
  <si>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</si>
  <si>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</si>
  <si>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</si>
  <si>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</si>
  <si>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</si>
  <si>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</si>
  <si>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</si>
  <si>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</si>
  <si>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</si>
  <si>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</si>
  <si>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</si>
  <si>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</si>
  <si>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</si>
  <si>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</si>
  <si>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</si>
  <si>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</si>
  <si>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</si>
  <si>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</si>
  <si>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</si>
  <si>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</si>
  <si>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</si>
  <si>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</si>
  <si>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</si>
  <si>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</si>
  <si>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</si>
  <si>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</si>
  <si>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</si>
  <si>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</si>
  <si>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</si>
  <si>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</si>
  <si>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</si>
  <si>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</si>
  <si>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</si>
  <si>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</si>
  <si>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</si>
  <si>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</si>
  <si>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</si>
  <si>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</si>
  <si>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</si>
  <si>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</si>
  <si>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</si>
  <si>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</si>
  <si>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See Revenue Account 34.1120 for matching revenue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</si>
  <si>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</si>
  <si>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</si>
  <si>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</si>
  <si>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</si>
  <si>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</si>
  <si>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</si>
  <si>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</si>
  <si>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</si>
  <si>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</si>
  <si>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</si>
  <si>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</si>
  <si>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</si>
  <si>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</si>
  <si>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</si>
  <si>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</si>
  <si>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</si>
  <si>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</si>
  <si>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</si>
  <si>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</si>
  <si>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</si>
  <si>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</si>
  <si>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</si>
  <si>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</si>
  <si>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</si>
  <si>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</si>
  <si>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</si>
  <si>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</si>
  <si>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</si>
  <si>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</si>
  <si>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</si>
  <si>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</si>
  <si>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</si>
  <si>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</si>
  <si>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</si>
  <si>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</si>
  <si>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</si>
  <si>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</si>
  <si>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</si>
  <si>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</si>
  <si>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</si>
  <si>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</si>
  <si>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</si>
  <si>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</si>
  <si>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</si>
  <si>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</si>
  <si>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</si>
  <si>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</si>
  <si>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</si>
  <si>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</si>
  <si>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</si>
  <si>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</si>
  <si>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</si>
  <si>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</si>
  <si>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</si>
  <si>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</si>
  <si>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100.41000 Public Works</t>
  </si>
  <si>
    <t>Proj.</t>
  </si>
  <si>
    <t>100.42000.Highways &amp; Streets</t>
  </si>
  <si>
    <t>100.44100.Water &amp; Sewer Auth.</t>
  </si>
  <si>
    <t>100.45410.Clean &amp; Beautiful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</si>
  <si>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</si>
  <si>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</si>
  <si>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</si>
  <si>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</si>
  <si>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</si>
  <si>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</si>
  <si>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</si>
  <si>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</si>
  <si>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</si>
  <si>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</si>
  <si>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</si>
  <si>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</si>
  <si>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</si>
  <si>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</si>
  <si>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</si>
  <si>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FY'02</t>
  </si>
  <si>
    <t>$ Change</t>
  </si>
  <si>
    <t>% Change</t>
  </si>
  <si>
    <t>Health Insurance</t>
  </si>
  <si>
    <t>Vision Insurance</t>
  </si>
  <si>
    <t>Dis/Accid Death</t>
  </si>
  <si>
    <t>total monthly</t>
  </si>
  <si>
    <t>Board of Assessors</t>
  </si>
  <si>
    <t>FY'04</t>
  </si>
  <si>
    <t>Liability insurance/general</t>
  </si>
  <si>
    <t>%</t>
  </si>
  <si>
    <t>GOHS</t>
  </si>
  <si>
    <t>Water and Sewer Utility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</si>
  <si>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</si>
  <si>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</si>
  <si>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</si>
  <si>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</si>
  <si>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</si>
  <si>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</si>
  <si>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</si>
  <si>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</si>
  <si>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</si>
  <si>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</si>
  <si>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</si>
  <si>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</si>
  <si>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</si>
  <si>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</si>
  <si>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</si>
  <si>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</si>
  <si>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</si>
  <si>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</si>
  <si>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</si>
  <si>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</si>
  <si>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</si>
  <si>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</si>
  <si>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</si>
  <si>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</si>
  <si>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</si>
  <si>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</si>
  <si>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</si>
  <si>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</si>
  <si>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</si>
  <si>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</si>
  <si>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</si>
  <si>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</si>
  <si>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</si>
  <si>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</si>
  <si>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</si>
  <si>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>FY'03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</si>
  <si>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</si>
  <si>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</si>
  <si>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</si>
  <si>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</si>
  <si>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</si>
  <si>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</si>
  <si>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</si>
  <si>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</si>
  <si>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</si>
  <si>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</si>
  <si>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</si>
  <si>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</si>
  <si>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</si>
  <si>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</si>
  <si>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</si>
  <si>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</si>
  <si>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</si>
  <si>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</si>
  <si>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</si>
  <si>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</si>
  <si>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</si>
  <si>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</si>
  <si>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</si>
  <si>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trailer for trash</t>
  </si>
  <si>
    <t>van for trash</t>
  </si>
  <si>
    <t>Comm/radios</t>
  </si>
  <si>
    <t>Part repair</t>
  </si>
  <si>
    <t>Oil &amp; petroleum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</si>
  <si>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</si>
  <si>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</si>
  <si>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</si>
  <si>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</si>
  <si>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</si>
  <si>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</si>
  <si>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</si>
  <si>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oil &amp; petroleum</t>
  </si>
  <si>
    <t>outside labor</t>
  </si>
  <si>
    <t>grant homeland security</t>
  </si>
  <si>
    <t>education &amp; training</t>
  </si>
  <si>
    <t>note 4</t>
  </si>
  <si>
    <t>Ave</t>
  </si>
  <si>
    <t>FY03</t>
  </si>
  <si>
    <t>FY04</t>
  </si>
  <si>
    <t>note 5</t>
  </si>
  <si>
    <t>Replace 4 BP monitors</t>
  </si>
  <si>
    <t>replace 4 portable suctions</t>
  </si>
  <si>
    <t>Fire alarm admin building</t>
  </si>
  <si>
    <t>Revenues less Expenses Final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</si>
  <si>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</si>
  <si>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</si>
  <si>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</si>
  <si>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</si>
  <si>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</si>
  <si>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Ga bioterrorism</t>
  </si>
  <si>
    <t xml:space="preserve">Juvenile </t>
  </si>
  <si>
    <t>Drink Machine Revenues</t>
  </si>
  <si>
    <t>Gas/ misc detention center</t>
  </si>
  <si>
    <t>FY05</t>
  </si>
  <si>
    <t>FY'05</t>
  </si>
  <si>
    <t>(H502)</t>
  </si>
  <si>
    <t>Sheriff Fees-Add to 34.2910</t>
  </si>
  <si>
    <t>Maintenance/Stretchers</t>
  </si>
  <si>
    <t>ADMINISTRATOR</t>
  </si>
  <si>
    <t>COMMISSION</t>
  </si>
  <si>
    <t>04-05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</si>
  <si>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</si>
  <si>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</si>
  <si>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</si>
  <si>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</si>
  <si>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</si>
  <si>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</si>
  <si>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</si>
  <si>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</si>
  <si>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</si>
  <si>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</si>
  <si>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</si>
  <si>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</si>
  <si>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</si>
  <si>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</si>
  <si>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</si>
  <si>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</si>
  <si>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</si>
  <si>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</si>
  <si>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contract buyout (deputy)</t>
  </si>
  <si>
    <t>radar unit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</si>
  <si>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</si>
  <si>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</si>
  <si>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</si>
  <si>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</si>
  <si>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</si>
  <si>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</si>
  <si>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Fund Balance Transfer</t>
  </si>
  <si>
    <t>Runway Extension</t>
  </si>
  <si>
    <t>meeting room cushions</t>
  </si>
  <si>
    <t>courthouse security</t>
  </si>
  <si>
    <t>voting machines</t>
  </si>
  <si>
    <t>Clerk of Court Recording Fee-FIFA</t>
  </si>
  <si>
    <t>02-03</t>
  </si>
  <si>
    <t>03-04</t>
  </si>
  <si>
    <t>Historical Change:</t>
  </si>
  <si>
    <t>computer</t>
  </si>
  <si>
    <t>capital</t>
  </si>
  <si>
    <t>replace cardiac monitors</t>
  </si>
  <si>
    <t>Day room furniture</t>
  </si>
  <si>
    <t>Technical/GTA</t>
  </si>
  <si>
    <t>Part time employees</t>
  </si>
  <si>
    <t>OPD Grant</t>
  </si>
  <si>
    <t>part time</t>
  </si>
  <si>
    <t>rec % ovr</t>
  </si>
  <si>
    <t>prior yr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</si>
  <si>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</si>
  <si>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</si>
  <si>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</si>
  <si>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</si>
  <si>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</si>
  <si>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</si>
  <si>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</si>
  <si>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</si>
  <si>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</si>
  <si>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</si>
  <si>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</si>
  <si>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</si>
  <si>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</si>
  <si>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</si>
  <si>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100.28110 Misdemeanor Probation</t>
  </si>
  <si>
    <t>Misdemeanor Probation</t>
  </si>
  <si>
    <t>Technical-GCIC</t>
  </si>
  <si>
    <t>Witness subpoena</t>
  </si>
  <si>
    <t>Oglethorp/ juvinile court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</si>
  <si>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</si>
  <si>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</si>
  <si>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</si>
  <si>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</si>
  <si>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</si>
  <si>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</si>
  <si>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</si>
  <si>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</si>
  <si>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wages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</si>
  <si>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</si>
  <si>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</si>
  <si>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</si>
  <si>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</si>
  <si>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</si>
  <si>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</si>
  <si>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</si>
  <si>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</si>
  <si>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>Juvenile Judge Supplement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</si>
  <si>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</si>
  <si>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</si>
  <si>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</si>
  <si>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</si>
  <si>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</si>
  <si>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</si>
  <si>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FY06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</si>
  <si>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</si>
  <si>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</si>
  <si>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</si>
  <si>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</si>
  <si>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</si>
  <si>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</si>
  <si>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</si>
  <si>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</si>
  <si>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</si>
  <si>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</si>
  <si>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</si>
  <si>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</si>
  <si>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</si>
  <si>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</si>
  <si>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</si>
  <si>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</si>
  <si>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</si>
  <si>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</si>
  <si>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</si>
  <si>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</si>
  <si>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</si>
  <si>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</si>
  <si>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</si>
  <si>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</si>
  <si>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</si>
  <si>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PROGRAM NO LONGER RECEIVING GF FUNDING</t>
  </si>
  <si>
    <t>Supplemental funding- Heating Assistance</t>
  </si>
  <si>
    <t>Van Drivers DFACs grant</t>
  </si>
  <si>
    <t>66% payroll</t>
  </si>
  <si>
    <t>Mold Remediation Library</t>
  </si>
  <si>
    <t>Roof Replacement</t>
  </si>
  <si>
    <t>05-06</t>
  </si>
  <si>
    <t>Proposed FY07</t>
  </si>
  <si>
    <t>FY07</t>
  </si>
  <si>
    <t>FY'06</t>
  </si>
  <si>
    <t>Admin. Cuts fr. Prior year bud.</t>
  </si>
  <si>
    <t>Dispatcher Salary</t>
  </si>
  <si>
    <t>Audit</t>
  </si>
  <si>
    <t>Vehicle Insurance</t>
  </si>
  <si>
    <t>Wages-Regular Employees</t>
  </si>
  <si>
    <t>Wages-Temporary Employees</t>
  </si>
  <si>
    <t>Education and training</t>
  </si>
  <si>
    <t>storage rental</t>
  </si>
  <si>
    <t>Part Time Employees</t>
  </si>
  <si>
    <t>Wages-full time</t>
  </si>
  <si>
    <t>in line 54.2550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</si>
  <si>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</si>
  <si>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</si>
  <si>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</si>
  <si>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</si>
  <si>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</si>
  <si>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</si>
  <si>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</si>
  <si>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move to 203?</t>
  </si>
  <si>
    <t>Revenue 34.2600</t>
  </si>
  <si>
    <t>Job Incentive Pay</t>
  </si>
  <si>
    <t>(H503)</t>
  </si>
  <si>
    <t>FY'07</t>
  </si>
  <si>
    <t>Sex Offender Regisrtry Website</t>
  </si>
  <si>
    <t>Express Poll Machines</t>
  </si>
  <si>
    <t>NACO</t>
  </si>
  <si>
    <t>Library Reconstruction Grant</t>
  </si>
  <si>
    <t>Library Reconstruction</t>
  </si>
  <si>
    <t>LOST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</si>
  <si>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</si>
  <si>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</si>
  <si>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</si>
  <si>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</si>
  <si>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</si>
  <si>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</si>
  <si>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</si>
  <si>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</si>
  <si>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</si>
  <si>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</si>
  <si>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</si>
  <si>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</si>
  <si>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</si>
  <si>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</si>
  <si>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</si>
  <si>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Inmate Social Security</t>
  </si>
  <si>
    <t>Rents/royaltees</t>
  </si>
  <si>
    <t>batteries</t>
  </si>
  <si>
    <t>Library Carpet</t>
  </si>
  <si>
    <t xml:space="preserve"> pr yr bud.</t>
  </si>
  <si>
    <t>speculative</t>
  </si>
  <si>
    <t>Auditor -GASB34</t>
  </si>
  <si>
    <t>Budget on hold pending replacement of Public works director and/or environmental enforcement officer</t>
  </si>
  <si>
    <t>vehicle</t>
  </si>
  <si>
    <t>Website Services</t>
  </si>
  <si>
    <t>Repairs &amp; Maint</t>
  </si>
  <si>
    <t>Rent IBA</t>
  </si>
  <si>
    <t>Other Prof. Services</t>
  </si>
  <si>
    <t>Economic Developer</t>
  </si>
  <si>
    <t>Building Maintenance</t>
  </si>
  <si>
    <t>06-07</t>
  </si>
  <si>
    <t>Hart Haven house maintenance</t>
  </si>
  <si>
    <t>Copier Maint</t>
  </si>
  <si>
    <t>overall note:  actual expenditures may vary depending on jail population and costs for repairs and maint</t>
  </si>
  <si>
    <t>website maint</t>
  </si>
  <si>
    <t>Uniforms</t>
  </si>
  <si>
    <t>Fire proof cabinets</t>
  </si>
  <si>
    <t>Lateral file cabinets</t>
  </si>
  <si>
    <t>admin</t>
  </si>
  <si>
    <t>BOA Mapping Project</t>
  </si>
  <si>
    <t>Substation</t>
  </si>
  <si>
    <t>Sheriff/Tax Buildings</t>
  </si>
  <si>
    <t>Admin Building Roof</t>
  </si>
  <si>
    <t>Pandemic Flu Grant</t>
  </si>
  <si>
    <t>Maintenance cardiac monitors</t>
  </si>
  <si>
    <t>note 3; summer paving months increase overtime needs, not completely shown in actuals to date</t>
  </si>
  <si>
    <t>Hotel/Motel Tax</t>
  </si>
  <si>
    <t>Heavy Equipment</t>
  </si>
  <si>
    <t>2008-09</t>
  </si>
  <si>
    <t>Ins/ Deductible</t>
  </si>
  <si>
    <t>DA Building Security</t>
  </si>
  <si>
    <t>Criminal Jusitce/ Magis</t>
  </si>
  <si>
    <t>Animal Shelter Study</t>
  </si>
  <si>
    <t xml:space="preserve">PTO </t>
  </si>
  <si>
    <t>(H504)</t>
  </si>
  <si>
    <t>07-08</t>
  </si>
  <si>
    <t>move to 27500 Fy09</t>
  </si>
  <si>
    <t>Law Library 27500</t>
  </si>
  <si>
    <t>see state law 36-15-7</t>
  </si>
  <si>
    <t>Maint of Ordinance Codification</t>
  </si>
  <si>
    <t>Law Library</t>
  </si>
  <si>
    <t>FY09</t>
  </si>
  <si>
    <t>FY'08</t>
  </si>
  <si>
    <t>FY'09</t>
  </si>
  <si>
    <t>FY09 Remain Liab Ins.</t>
  </si>
  <si>
    <t>FY10 Liability/general</t>
  </si>
  <si>
    <t>FY08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</si>
  <si>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</si>
  <si>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</si>
  <si>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</si>
  <si>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</si>
  <si>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</si>
  <si>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</si>
  <si>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</si>
  <si>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</si>
  <si>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</si>
  <si>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</si>
  <si>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</si>
  <si>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</si>
  <si>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</si>
  <si>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</si>
  <si>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</si>
  <si>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</si>
  <si>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</si>
  <si>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</si>
  <si>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</si>
  <si>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</si>
  <si>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</si>
  <si>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</si>
  <si>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</si>
  <si>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</si>
  <si>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</si>
  <si>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</si>
  <si>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</si>
  <si>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</si>
  <si>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</si>
  <si>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</si>
  <si>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</si>
  <si>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</si>
  <si>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</si>
  <si>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</si>
  <si>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</si>
  <si>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</si>
  <si>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</si>
  <si>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</si>
  <si>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</si>
  <si>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</si>
  <si>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</si>
  <si>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</si>
  <si>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</si>
  <si>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</si>
  <si>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</si>
  <si>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</si>
  <si>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</si>
  <si>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</si>
  <si>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</si>
  <si>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</si>
  <si>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</si>
  <si>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</si>
  <si>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</si>
  <si>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</si>
  <si>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</si>
  <si>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</si>
  <si>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</si>
  <si>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</si>
  <si>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</si>
  <si>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</si>
  <si>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</si>
  <si>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</si>
  <si>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</si>
  <si>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</si>
  <si>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</si>
  <si>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combined w/parts</t>
  </si>
  <si>
    <t>REVENUES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</si>
  <si>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</si>
  <si>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</si>
  <si>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</si>
  <si>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</si>
  <si>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</si>
  <si>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</si>
  <si>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</si>
  <si>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</si>
  <si>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</si>
  <si>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</si>
  <si>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</si>
  <si>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</si>
  <si>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</si>
  <si>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</si>
  <si>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</si>
  <si>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</si>
  <si>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</si>
  <si>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</si>
  <si>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</si>
  <si>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Hart State Park Cabin</t>
  </si>
  <si>
    <t>public defender 06 missed</t>
  </si>
  <si>
    <t>DFACs Van Replacement</t>
  </si>
  <si>
    <t>Foster Care Projgram</t>
  </si>
  <si>
    <t>PROGRAM ENDED</t>
  </si>
  <si>
    <t>note 1: program ended see 38.9051 rev.</t>
  </si>
  <si>
    <t>Extra Wages/fica city Election</t>
  </si>
  <si>
    <t>Extra Pay for Provissional Ballot Count</t>
  </si>
  <si>
    <t>Extra Pay for July Primary</t>
  </si>
  <si>
    <t>PO Box Rental</t>
  </si>
  <si>
    <t>PO Box</t>
  </si>
  <si>
    <t>Maint dup products</t>
  </si>
  <si>
    <t>Scan plats</t>
  </si>
  <si>
    <t>NO AUDIT SUBMITTED, DFACs STATES THAT NO AUDIT EXISTS</t>
  </si>
  <si>
    <t>note 2, 3</t>
  </si>
  <si>
    <t>AWOS</t>
  </si>
  <si>
    <t>Beacon</t>
  </si>
  <si>
    <t>program eliminated</t>
  </si>
  <si>
    <t>none for fy10</t>
  </si>
  <si>
    <t>Special Court Project</t>
  </si>
  <si>
    <t>GMASS GIS Work</t>
  </si>
  <si>
    <t>Courthouse AC unit replacement</t>
  </si>
  <si>
    <t>Part Time</t>
  </si>
  <si>
    <t>Transit System DOT Grant 5311</t>
  </si>
  <si>
    <t>DHR TANFGrant</t>
  </si>
  <si>
    <t>DHR Aging Grant</t>
  </si>
  <si>
    <t>THIS BUDGET WILL BE UNDER DEVELOPMENT IN FY10</t>
  </si>
  <si>
    <t>Admin. Cuts from Budget Requests:</t>
  </si>
  <si>
    <t>BOC Cuts from Admin. Budget:</t>
  </si>
  <si>
    <t>Total Cuts from Budget Requests:</t>
  </si>
  <si>
    <t>special reimbursement (w/c)</t>
  </si>
  <si>
    <t>10-11</t>
  </si>
  <si>
    <t>2010-2011</t>
  </si>
  <si>
    <t>GMASS Data Entry</t>
  </si>
  <si>
    <t>Flagger Course</t>
  </si>
  <si>
    <t>HVAC Unit</t>
  </si>
  <si>
    <t>Food</t>
  </si>
  <si>
    <t>to match audit or expected AP</t>
  </si>
  <si>
    <t>per month</t>
  </si>
  <si>
    <t>130 employees</t>
  </si>
  <si>
    <t>budget FY10</t>
  </si>
  <si>
    <t>budget</t>
  </si>
  <si>
    <t>actual</t>
  </si>
  <si>
    <t>Lgacy Link Grant</t>
  </si>
  <si>
    <t>TOTAL:</t>
  </si>
  <si>
    <t>Rev/Exp Ratio</t>
  </si>
  <si>
    <t>Fees/Exp Ratio</t>
  </si>
  <si>
    <t>Total Revs/Exp Ratio</t>
  </si>
  <si>
    <t>5311 Grant DOT</t>
  </si>
  <si>
    <t>Transit fees</t>
  </si>
  <si>
    <t>Temp Wages</t>
  </si>
  <si>
    <t>Program Fees</t>
  </si>
  <si>
    <t>Recording FIFAS</t>
  </si>
  <si>
    <t>Furniture/Fixtures</t>
  </si>
  <si>
    <t>Sustain Software Purchase</t>
  </si>
  <si>
    <t>5th district probate judge</t>
  </si>
  <si>
    <t>Transit Supervisor Wages</t>
  </si>
  <si>
    <t>Senior Center Rental</t>
  </si>
  <si>
    <t>Extra Wages Clerk for Election</t>
  </si>
  <si>
    <t>Fax</t>
  </si>
  <si>
    <t>Baseball Supplies</t>
  </si>
  <si>
    <t>% Rev/Exp</t>
  </si>
  <si>
    <t>DOR order tax penalty</t>
  </si>
  <si>
    <t>Senior Center Meals</t>
  </si>
  <si>
    <t>Donations</t>
  </si>
  <si>
    <t>Jury Duty Compensation</t>
  </si>
  <si>
    <t>BOE pay</t>
  </si>
  <si>
    <t>Energy/water</t>
  </si>
  <si>
    <t>Rev/exp ratio</t>
  </si>
  <si>
    <t>Fingerprinting</t>
  </si>
  <si>
    <t>Note 3: Ongoing project to scan all plats over several years</t>
  </si>
  <si>
    <t>replace 4 stretchers</t>
  </si>
  <si>
    <t>Athletic tournaments</t>
  </si>
  <si>
    <t>Courthouse Grounds Supplies</t>
  </si>
  <si>
    <t>Courthouse Annex Roof Replacement</t>
  </si>
  <si>
    <t>Note 1: Jury Compensation</t>
  </si>
  <si>
    <t>Cost for Rebill 2009</t>
  </si>
  <si>
    <t>Cost for Rebill 2010</t>
  </si>
  <si>
    <t>note 4:  Required by state law, new costs being shifted to county  from state FY11</t>
  </si>
  <si>
    <t>note 4:  equipment maintained by State now passed onto county to maintain moved to 21500 for FY11</t>
  </si>
  <si>
    <t>major one time capital in budget:</t>
  </si>
  <si>
    <t>Total Budgeted O&amp;M Deficit:</t>
  </si>
  <si>
    <t>note 1, 5</t>
  </si>
  <si>
    <t>Ikon Copier Maint</t>
  </si>
  <si>
    <t>note 1: moved from 21500 in FY11. Actuals for FY09 and FY10 reported in 21500</t>
  </si>
  <si>
    <t>direct billing to SR FUNDS FY11</t>
  </si>
  <si>
    <t>Extra Wages for General Election</t>
  </si>
  <si>
    <t>2 sheriff car grants</t>
  </si>
  <si>
    <t>Mega Ramp Fees</t>
  </si>
  <si>
    <t>Legacy Links Grant</t>
  </si>
  <si>
    <t>comm</t>
  </si>
  <si>
    <t xml:space="preserve">cuts </t>
  </si>
  <si>
    <t>fr admin</t>
  </si>
  <si>
    <t>Addressing signs</t>
  </si>
  <si>
    <t>Drug/alcohol testing</t>
  </si>
  <si>
    <t>NOTE: FY11 BUDGET DEPENDS ON DOT TRANSIT GRANT AND ACTUAL RIDERSHIP</t>
  </si>
  <si>
    <t>Senior Center Fund Raising Revenues</t>
  </si>
  <si>
    <t>Fund Raising Expenses</t>
  </si>
  <si>
    <t>note 7</t>
  </si>
  <si>
    <t>Note 7:  New revenue for this also</t>
  </si>
  <si>
    <t>Fund Raising Revenues</t>
  </si>
  <si>
    <t>11-12</t>
  </si>
  <si>
    <t>Lake Hartwell Impact Study Grant</t>
  </si>
  <si>
    <t>AR est or Audit Match</t>
  </si>
  <si>
    <t>LHA Race Event</t>
  </si>
  <si>
    <t>Repairs/maint</t>
  </si>
  <si>
    <t>Rev/Exp%</t>
  </si>
  <si>
    <t>Ambulance Fees "Receivables"</t>
  </si>
  <si>
    <t>Employers required to offer coverage for part time employees above 30 hours per week</t>
  </si>
  <si>
    <t>Court</t>
  </si>
  <si>
    <t>RDC Lawsuit</t>
  </si>
  <si>
    <t>Workers Comp Insurance</t>
  </si>
  <si>
    <t>Buildings and Grounds</t>
  </si>
  <si>
    <t>Workmans Comp Insurance</t>
  </si>
  <si>
    <t>Coroner Transport Feed</t>
  </si>
  <si>
    <t>mechanic wages</t>
  </si>
  <si>
    <t>FY12</t>
  </si>
  <si>
    <t>note 1: 21.5 per week</t>
  </si>
  <si>
    <t>note 1:  FY11 expense line items reduced due to billing SR funds and depts for their coverage</t>
  </si>
  <si>
    <t>note 1: polling station rental, added new cost with Shoal creek in 2011</t>
  </si>
  <si>
    <t>note 3;  BOC approved training for half the office every other year</t>
  </si>
  <si>
    <t>note4 : we now use free microsoft security essentials</t>
  </si>
  <si>
    <t>Cost for Rebill 2011</t>
  </si>
  <si>
    <t>Mail Fees Rev:</t>
  </si>
  <si>
    <t>Unpaid Mapping bill ITOS</t>
  </si>
  <si>
    <t>note 2,3</t>
  </si>
  <si>
    <t>note 1:  Reduction in expenxes due to the rec dept work on maint and grounds</t>
  </si>
  <si>
    <t>note 1:  equipment maintained by State now passed onto county to maintain moved from 21800 for FY11</t>
  </si>
  <si>
    <t xml:space="preserve">note 5: we use free ms secturity essentials. </t>
  </si>
  <si>
    <t>note 2: fy12 includes new quarterly preliminary hearings in magistrate court</t>
  </si>
  <si>
    <t xml:space="preserve">NO BUDGET REQUEST OR AUDIT RECEIVED </t>
  </si>
  <si>
    <t>FY11 expect a lot of appeals from contrct reval</t>
  </si>
  <si>
    <t>FY12 should have decreased number of appeals compared to fy11</t>
  </si>
  <si>
    <t>2 computers</t>
  </si>
  <si>
    <t>note 1, 3</t>
  </si>
  <si>
    <t>NO BUDGET REQUEST SUBMITTED</t>
  </si>
  <si>
    <t>education/training</t>
  </si>
  <si>
    <t>NEED AUDIT Health dept</t>
  </si>
  <si>
    <t>NEED AUDIT AVITA</t>
  </si>
  <si>
    <t>North Georgia MH/AVITA</t>
  </si>
  <si>
    <t xml:space="preserve">Note 3:  See vehicle replacement schedule (5 year plan), replace vehicles over 200,000 miles </t>
  </si>
  <si>
    <t xml:space="preserve">note 1: Estimated based on 5 year historic increases for insurance. Actual numbers become more concrete when new policy received first quarter of next fiscal year </t>
  </si>
  <si>
    <t>chart budge increase</t>
  </si>
  <si>
    <t>personnel costs</t>
  </si>
  <si>
    <t>primary election</t>
  </si>
  <si>
    <t>note 3: Cost of rebills depends on when we rebil 2009 and 2010 final billlings and if we have a 2011 temporary billing</t>
  </si>
  <si>
    <t>note 1:  COLA applied to eligible full time wages,</t>
  </si>
  <si>
    <t xml:space="preserve">note 2: Estimated based on 5 year historic increases for insurance. Actual numbers become more concrete when new policy received first quarter of next fiscal year </t>
  </si>
  <si>
    <t>personnel costs, back taxes billing</t>
  </si>
  <si>
    <t>stopped charging fee</t>
  </si>
  <si>
    <t>note 4:  Personal Property Audit will be required in FY12 per DOR Consent Order</t>
  </si>
  <si>
    <t>note 3,4</t>
  </si>
  <si>
    <t>note 3: line item request needs further discussion with BOC on plan of action for these proposed expenditures</t>
  </si>
  <si>
    <t>wingap</t>
  </si>
  <si>
    <t>personnel costs, pers prop audit</t>
  </si>
  <si>
    <t>increased cost of insurance</t>
  </si>
  <si>
    <t>cost savings from rec dept</t>
  </si>
  <si>
    <t>Mega Ramp Boat Dock</t>
  </si>
  <si>
    <t xml:space="preserve">note 2: Code enforcement </t>
  </si>
  <si>
    <t>note 2: runof budget line items requested by dept are included here (rental, poll workers), but actual expenses accounted in line items</t>
  </si>
  <si>
    <t>note 5:  COLA applied to eligible wages</t>
  </si>
  <si>
    <t>note 2:  fax line setup, increased monthly phone cost, and cost of fax machine included in dept request FY12</t>
  </si>
  <si>
    <t>note 6: includes combined 2 vacant ap positions into dep CA</t>
  </si>
  <si>
    <t>note 1, 6</t>
  </si>
  <si>
    <t>note 2, 6</t>
  </si>
  <si>
    <t>note 3;  need to further review deductible</t>
  </si>
  <si>
    <t>note 2:  This is amounts below deductible</t>
  </si>
  <si>
    <t>note:  Franklin county may be budgeting $30,000</t>
  </si>
  <si>
    <t>copier 2</t>
  </si>
  <si>
    <t>Deed Software</t>
  </si>
  <si>
    <t>Bkackwell Case</t>
  </si>
  <si>
    <t>note 4: requests copier fy12</t>
  </si>
  <si>
    <t>note 3: inlcudes two printer replacements fy12</t>
  </si>
  <si>
    <t xml:space="preserve">note 2;  Grand Jury presentments required by law to be put in newspaper. </t>
  </si>
  <si>
    <t>Overbudget Spending</t>
  </si>
  <si>
    <t>note 5:  Office Desks etc... State Surplus purchased FY11</t>
  </si>
  <si>
    <t>FRANKLIN COUNTY DOES NOT HAVE CONTRIBUTION IN FY12</t>
  </si>
  <si>
    <t>Blackwell Case</t>
  </si>
  <si>
    <t>litigation</t>
  </si>
  <si>
    <t>unemployment</t>
  </si>
  <si>
    <t>medical</t>
  </si>
  <si>
    <t>note 1:  Revised budget request received 7/14/11</t>
  </si>
  <si>
    <t>Wage MOW delivery part time</t>
  </si>
  <si>
    <t>note 1,4</t>
  </si>
  <si>
    <t>note 2,4</t>
  </si>
  <si>
    <t>note 4:  BOC freeze of two open equipment op positions</t>
  </si>
  <si>
    <t>Consulting</t>
  </si>
  <si>
    <t>Workmans Comp</t>
  </si>
  <si>
    <t>Medical</t>
  </si>
  <si>
    <t>note 6: SPIII funded fy11</t>
  </si>
  <si>
    <t>consulting full time</t>
  </si>
  <si>
    <t xml:space="preserve">note 3: amounts allocated to specific departments in FY12 for better accounting.  This is for new additiions during fiscal year.  </t>
  </si>
  <si>
    <t>note 3:  allocated from 10000 account to deprs FY12 for better accouting.</t>
  </si>
  <si>
    <t>note 4:  allocated from 10000 account to deprs FY12 for better accouting.</t>
  </si>
  <si>
    <t>note 7:  allocated from 10000 account to deprs FY12 for better accouting.</t>
  </si>
  <si>
    <t>note 5:  allocated from 10000 account to deprs FY12 for better accouting.</t>
  </si>
  <si>
    <t>note 6:  allocated from 10000 account to deprs FY12 for better accouting.</t>
  </si>
  <si>
    <t>Extra wages special nov election</t>
  </si>
  <si>
    <t>Extra Pay for Runoff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</si>
</sst>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  <numFmt numFmtId="191" formatCode="_(&quot;$&quot;* #,##0.0000_);_(&quot;$&quot;* \(#,##0.0000\);_(&quot;$&quot;* &quot;-&quot;????_);_(@_)"/>
  </numFmts>
  <fonts count="3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5"/>
      <name val="Arial"/>
      <family val="0"/>
    </font>
    <font>
      <b/>
      <sz val="4"/>
      <name val="Arial"/>
      <family val="0"/>
    </font>
    <font>
      <sz val="4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5.75"/>
      <name val="Arial"/>
      <family val="0"/>
    </font>
    <font>
      <sz val="4.75"/>
      <name val="Arial"/>
      <family val="0"/>
    </font>
    <font>
      <b/>
      <sz val="8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166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28" applyNumberFormat="1" applyFont="1" applyAlignment="1">
      <alignment/>
    </xf>
    <xf numFmtId="10" fontId="8" fillId="0" borderId="2" xfId="28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28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172" fontId="0" fillId="0" borderId="0" xfId="28" applyNumberFormat="1" applyAlignment="1">
      <alignment/>
    </xf>
    <xf numFmtId="9" fontId="0" fillId="0" borderId="0" xfId="28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43" fontId="0" fillId="0" borderId="7" xfId="15" applyBorder="1" applyAlignment="1">
      <alignment/>
    </xf>
    <xf numFmtId="43" fontId="0" fillId="0" borderId="0" xfId="15" applyAlignment="1">
      <alignment/>
    </xf>
    <xf numFmtId="43" fontId="0" fillId="0" borderId="7" xfId="15" applyNumberFormat="1" applyBorder="1" applyAlignment="1">
      <alignment/>
    </xf>
    <xf numFmtId="9" fontId="0" fillId="0" borderId="0" xfId="28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28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28" applyFont="1" applyAlignment="1">
      <alignment/>
    </xf>
    <xf numFmtId="43" fontId="2" fillId="0" borderId="8" xfId="15" applyFont="1" applyBorder="1" applyAlignment="1">
      <alignment/>
    </xf>
    <xf numFmtId="9" fontId="7" fillId="0" borderId="0" xfId="28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28" applyNumberFormat="1" applyFont="1" applyBorder="1" applyAlignment="1">
      <alignment/>
    </xf>
    <xf numFmtId="9" fontId="7" fillId="0" borderId="0" xfId="28" applyFont="1" applyAlignment="1">
      <alignment/>
    </xf>
    <xf numFmtId="9" fontId="8" fillId="0" borderId="2" xfId="28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28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28" applyNumberFormat="1" applyFont="1" applyAlignment="1">
      <alignment/>
    </xf>
    <xf numFmtId="0" fontId="0" fillId="0" borderId="0" xfId="0" applyBorder="1" applyAlignment="1">
      <alignment horizontal="center"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9" xfId="28" applyNumberFormat="1" applyBorder="1" applyAlignment="1">
      <alignment/>
    </xf>
    <xf numFmtId="0" fontId="0" fillId="0" borderId="11" xfId="0" applyBorder="1" applyAlignment="1">
      <alignment horizontal="right"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0" fontId="0" fillId="0" borderId="14" xfId="0" applyBorder="1" applyAlignment="1">
      <alignment/>
    </xf>
    <xf numFmtId="43" fontId="2" fillId="0" borderId="15" xfId="15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6" fontId="0" fillId="0" borderId="0" xfId="0" applyNumberFormat="1" applyAlignment="1">
      <alignment/>
    </xf>
    <xf numFmtId="10" fontId="2" fillId="0" borderId="2" xfId="2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" fontId="0" fillId="0" borderId="0" xfId="0" applyNumberFormat="1" applyAlignment="1" quotePrefix="1">
      <alignment horizontal="left" indent="1"/>
    </xf>
    <xf numFmtId="0" fontId="0" fillId="0" borderId="0" xfId="0" applyAlignment="1" quotePrefix="1">
      <alignment horizontal="left" indent="1"/>
    </xf>
    <xf numFmtId="172" fontId="2" fillId="0" borderId="0" xfId="28" applyNumberFormat="1" applyFont="1" applyAlignment="1">
      <alignment/>
    </xf>
    <xf numFmtId="172" fontId="2" fillId="0" borderId="2" xfId="28" applyNumberFormat="1" applyFont="1" applyBorder="1" applyAlignment="1">
      <alignment/>
    </xf>
    <xf numFmtId="172" fontId="7" fillId="0" borderId="0" xfId="28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1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9" fontId="8" fillId="0" borderId="0" xfId="28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28" applyNumberFormat="1" applyFont="1" applyAlignment="1">
      <alignment/>
    </xf>
    <xf numFmtId="1" fontId="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28" applyNumberFormat="1" applyFont="1" applyAlignment="1">
      <alignment/>
    </xf>
    <xf numFmtId="3" fontId="23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28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43" fontId="7" fillId="0" borderId="0" xfId="15" applyFont="1" applyAlignment="1">
      <alignment/>
    </xf>
    <xf numFmtId="9" fontId="0" fillId="0" borderId="0" xfId="28" applyFont="1" applyAlignment="1">
      <alignment horizontal="right"/>
    </xf>
    <xf numFmtId="0" fontId="7" fillId="0" borderId="3" xfId="0" applyFont="1" applyBorder="1" applyAlignment="1" quotePrefix="1">
      <alignment horizontal="center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15" applyNumberFormat="1" applyAlignment="1">
      <alignment/>
    </xf>
    <xf numFmtId="166" fontId="2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166" fontId="7" fillId="0" borderId="0" xfId="15" applyNumberFormat="1" applyFont="1" applyBorder="1" applyAlignment="1">
      <alignment/>
    </xf>
    <xf numFmtId="164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8" xfId="28" applyNumberFormat="1" applyBorder="1" applyAlignment="1">
      <alignment/>
    </xf>
    <xf numFmtId="172" fontId="0" fillId="0" borderId="0" xfId="28" applyNumberFormat="1" applyBorder="1" applyAlignment="1">
      <alignment/>
    </xf>
    <xf numFmtId="172" fontId="2" fillId="0" borderId="0" xfId="0" applyNumberFormat="1" applyFont="1" applyAlignment="1">
      <alignment/>
    </xf>
    <xf numFmtId="16" fontId="0" fillId="0" borderId="0" xfId="0" applyNumberFormat="1" applyAlignment="1" quotePrefix="1">
      <alignment horizontal="center"/>
    </xf>
    <xf numFmtId="172" fontId="0" fillId="0" borderId="0" xfId="28" applyNumberFormat="1" applyFont="1" applyFill="1" applyBorder="1" applyAlignment="1">
      <alignment/>
    </xf>
    <xf numFmtId="17" fontId="7" fillId="0" borderId="0" xfId="0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72" fontId="0" fillId="0" borderId="0" xfId="28" applyNumberFormat="1" applyFont="1" applyAlignment="1">
      <alignment horizontal="right"/>
    </xf>
    <xf numFmtId="166" fontId="0" fillId="0" borderId="0" xfId="15" applyNumberFormat="1" applyFont="1" applyAlignment="1">
      <alignment horizontal="right"/>
    </xf>
    <xf numFmtId="9" fontId="0" fillId="0" borderId="0" xfId="28" applyNumberFormat="1" applyAlignment="1">
      <alignment/>
    </xf>
    <xf numFmtId="43" fontId="0" fillId="0" borderId="0" xfId="15" applyFont="1" applyAlignment="1">
      <alignment horizontal="right"/>
    </xf>
    <xf numFmtId="0" fontId="7" fillId="0" borderId="0" xfId="0" applyFont="1" applyFill="1" applyAlignment="1">
      <alignment/>
    </xf>
    <xf numFmtId="166" fontId="0" fillId="0" borderId="0" xfId="15" applyNumberForma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>
        <c:manualLayout>
          <c:xMode val="factor"/>
          <c:yMode val="factor"/>
          <c:x val="-0.046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475"/>
          <c:w val="0.919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Rev'!$D$4:$N$4</c:f>
              <c:numCache/>
            </c:numRef>
          </c:cat>
          <c:val>
            <c:numRef>
              <c:f>'GF Rev'!$D$180:$N$180</c:f>
              <c:numCache/>
            </c:numRef>
          </c:val>
        </c:ser>
        <c:axId val="46826400"/>
        <c:axId val="18784417"/>
      </c:bar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64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Historic Percent Change in Health Insurance Costs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Benefits!$AI$18:$AI$28</c:f>
              <c:strCache/>
            </c:strRef>
          </c:cat>
          <c:val>
            <c:numRef>
              <c:f>Benefits!$AK$18:$AK$28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Rev'!$C$4:$N$4</c:f>
              <c:numCache/>
            </c:numRef>
          </c:cat>
          <c:val>
            <c:numRef>
              <c:f>'GF Rev'!$C$179:$N$179</c:f>
              <c:numCache/>
            </c:numRef>
          </c:val>
        </c:ser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2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</c:numRef>
          </c:cat>
          <c:val>
            <c:numRef>
              <c:f>'GF Rev'!$C$33:$K$33</c:f>
            </c:numRef>
          </c:val>
          <c:smooth val="0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1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>
        <c:manualLayout>
          <c:xMode val="factor"/>
          <c:yMode val="factor"/>
          <c:x val="0.01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9"/>
          <c:w val="0.94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Rev'!$D$4:$N$4</c:f>
              <c:numCache/>
            </c:numRef>
          </c:cat>
          <c:val>
            <c:numRef>
              <c:f>'GF Rev'!$D$181:$N$181</c:f>
              <c:numCache/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26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6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41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89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Defender Budget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'GF28000'!$J$6:$N$6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'GF28000'!$J$8:$N$8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186</xdr:row>
      <xdr:rowOff>38100</xdr:rowOff>
    </xdr:from>
    <xdr:to>
      <xdr:col>9</xdr:col>
      <xdr:colOff>9525</xdr:colOff>
      <xdr:row>209</xdr:row>
      <xdr:rowOff>28575</xdr:rowOff>
    </xdr:to>
    <xdr:graphicFrame>
      <xdr:nvGraphicFramePr>
        <xdr:cNvPr id="1" name="Chart 15"/>
        <xdr:cNvGraphicFramePr/>
      </xdr:nvGraphicFramePr>
      <xdr:xfrm>
        <a:off x="342900" y="21040725"/>
        <a:ext cx="247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184</xdr:row>
      <xdr:rowOff>76200</xdr:rowOff>
    </xdr:from>
    <xdr:to>
      <xdr:col>22</xdr:col>
      <xdr:colOff>19050</xdr:colOff>
      <xdr:row>208</xdr:row>
      <xdr:rowOff>133350</xdr:rowOff>
    </xdr:to>
    <xdr:graphicFrame>
      <xdr:nvGraphicFramePr>
        <xdr:cNvPr id="2" name="Chart 16"/>
        <xdr:cNvGraphicFramePr/>
      </xdr:nvGraphicFramePr>
      <xdr:xfrm>
        <a:off x="2819400" y="20754975"/>
        <a:ext cx="56673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221</xdr:row>
      <xdr:rowOff>123825</xdr:rowOff>
    </xdr:from>
    <xdr:to>
      <xdr:col>7</xdr:col>
      <xdr:colOff>590550</xdr:colOff>
      <xdr:row>245</xdr:row>
      <xdr:rowOff>9525</xdr:rowOff>
    </xdr:to>
    <xdr:graphicFrame>
      <xdr:nvGraphicFramePr>
        <xdr:cNvPr id="3" name="Chart 17"/>
        <xdr:cNvGraphicFramePr/>
      </xdr:nvGraphicFramePr>
      <xdr:xfrm>
        <a:off x="0" y="26793825"/>
        <a:ext cx="28194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1743075</xdr:colOff>
      <xdr:row>208</xdr:row>
      <xdr:rowOff>38100</xdr:rowOff>
    </xdr:from>
    <xdr:to>
      <xdr:col>14</xdr:col>
      <xdr:colOff>476250</xdr:colOff>
      <xdr:row>231</xdr:row>
      <xdr:rowOff>38100</xdr:rowOff>
    </xdr:to>
    <xdr:graphicFrame>
      <xdr:nvGraphicFramePr>
        <xdr:cNvPr id="4" name="Chart 19"/>
        <xdr:cNvGraphicFramePr/>
      </xdr:nvGraphicFramePr>
      <xdr:xfrm>
        <a:off x="1743075" y="24603075"/>
        <a:ext cx="35242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197</xdr:row>
      <xdr:rowOff>152400</xdr:rowOff>
    </xdr:from>
    <xdr:to>
      <xdr:col>11</xdr:col>
      <xdr:colOff>0</xdr:colOff>
      <xdr:row>220</xdr:row>
      <xdr:rowOff>142875</xdr:rowOff>
    </xdr:to>
    <xdr:graphicFrame>
      <xdr:nvGraphicFramePr>
        <xdr:cNvPr id="5" name="Chart 20"/>
        <xdr:cNvGraphicFramePr/>
      </xdr:nvGraphicFramePr>
      <xdr:xfrm>
        <a:off x="2819400" y="22936200"/>
        <a:ext cx="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187</xdr:row>
      <xdr:rowOff>19050</xdr:rowOff>
    </xdr:from>
    <xdr:to>
      <xdr:col>11</xdr:col>
      <xdr:colOff>0</xdr:colOff>
      <xdr:row>210</xdr:row>
      <xdr:rowOff>9525</xdr:rowOff>
    </xdr:to>
    <xdr:graphicFrame>
      <xdr:nvGraphicFramePr>
        <xdr:cNvPr id="6" name="Chart 21"/>
        <xdr:cNvGraphicFramePr/>
      </xdr:nvGraphicFramePr>
      <xdr:xfrm>
        <a:off x="2819400" y="21183600"/>
        <a:ext cx="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219</xdr:row>
      <xdr:rowOff>123825</xdr:rowOff>
    </xdr:from>
    <xdr:to>
      <xdr:col>11</xdr:col>
      <xdr:colOff>0</xdr:colOff>
      <xdr:row>243</xdr:row>
      <xdr:rowOff>9525</xdr:rowOff>
    </xdr:to>
    <xdr:graphicFrame>
      <xdr:nvGraphicFramePr>
        <xdr:cNvPr id="7" name="Chart 22"/>
        <xdr:cNvGraphicFramePr/>
      </xdr:nvGraphicFramePr>
      <xdr:xfrm>
        <a:off x="2819400" y="26469975"/>
        <a:ext cx="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192</xdr:row>
      <xdr:rowOff>142875</xdr:rowOff>
    </xdr:from>
    <xdr:to>
      <xdr:col>11</xdr:col>
      <xdr:colOff>0</xdr:colOff>
      <xdr:row>215</xdr:row>
      <xdr:rowOff>142875</xdr:rowOff>
    </xdr:to>
    <xdr:graphicFrame>
      <xdr:nvGraphicFramePr>
        <xdr:cNvPr id="8" name="Chart 23"/>
        <xdr:cNvGraphicFramePr/>
      </xdr:nvGraphicFramePr>
      <xdr:xfrm>
        <a:off x="2819400" y="22117050"/>
        <a:ext cx="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19</xdr:row>
      <xdr:rowOff>9525</xdr:rowOff>
    </xdr:from>
    <xdr:to>
      <xdr:col>19</xdr:col>
      <xdr:colOff>647700</xdr:colOff>
      <xdr:row>52</xdr:row>
      <xdr:rowOff>0</xdr:rowOff>
    </xdr:to>
    <xdr:graphicFrame>
      <xdr:nvGraphicFramePr>
        <xdr:cNvPr id="1" name="Chart 3"/>
        <xdr:cNvGraphicFramePr/>
      </xdr:nvGraphicFramePr>
      <xdr:xfrm>
        <a:off x="1933575" y="3086100"/>
        <a:ext cx="7829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37</xdr:row>
      <xdr:rowOff>85725</xdr:rowOff>
    </xdr:from>
    <xdr:to>
      <xdr:col>34</xdr:col>
      <xdr:colOff>390525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1114425" y="6115050"/>
        <a:ext cx="5305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F13" sqref="F13"/>
    </sheetView>
  </sheetViews>
  <sheetFormatPr defaultColWidth="9.140625" defaultRowHeight="12.75"/>
  <cols>
    <col min="1" max="1" width="9.140625" style="26" customWidth="1"/>
    <col min="2" max="2" width="27.8515625" style="25" customWidth="1"/>
    <col min="3" max="3" width="3.7109375" style="22" customWidth="1"/>
    <col min="4" max="4" width="27.8515625" style="25" customWidth="1"/>
    <col min="5" max="5" width="9.140625" style="26" customWidth="1"/>
    <col min="6" max="16384" width="9.140625" style="22" customWidth="1"/>
  </cols>
  <sheetData>
    <row r="1" spans="1:5" s="29" customFormat="1" ht="15">
      <c r="A1" s="27" t="s">
        <v>347</v>
      </c>
      <c r="B1" s="28" t="s">
        <v>348</v>
      </c>
      <c r="D1" s="28" t="s">
        <v>348</v>
      </c>
      <c r="E1" s="27" t="s">
        <v>347</v>
      </c>
    </row>
    <row r="2" spans="1:5" ht="12.75">
      <c r="A2" s="26">
        <v>10000</v>
      </c>
      <c r="B2" s="25" t="s">
        <v>167</v>
      </c>
      <c r="D2" s="25" t="s">
        <v>343</v>
      </c>
      <c r="E2" s="26">
        <v>34200</v>
      </c>
    </row>
    <row r="3" spans="1:5" ht="12.75">
      <c r="A3" s="26">
        <v>13000</v>
      </c>
      <c r="B3" s="25" t="s">
        <v>183</v>
      </c>
      <c r="D3" s="25" t="s">
        <v>308</v>
      </c>
      <c r="E3" s="26">
        <v>71300</v>
      </c>
    </row>
    <row r="4" spans="1:5" ht="12.75">
      <c r="A4" s="26">
        <v>14000</v>
      </c>
      <c r="B4" s="25" t="s">
        <v>140</v>
      </c>
      <c r="D4" s="25" t="s">
        <v>315</v>
      </c>
      <c r="E4" s="26">
        <v>75630</v>
      </c>
    </row>
    <row r="5" spans="1:5" ht="12.75">
      <c r="A5" s="26">
        <v>14100</v>
      </c>
      <c r="B5" s="25" t="s">
        <v>153</v>
      </c>
      <c r="D5" s="25" t="s">
        <v>249</v>
      </c>
      <c r="E5" s="26">
        <v>39100</v>
      </c>
    </row>
    <row r="6" spans="1:5" ht="12.75">
      <c r="A6" s="26">
        <v>15300</v>
      </c>
      <c r="B6" s="25" t="s">
        <v>158</v>
      </c>
      <c r="D6" s="25" t="s">
        <v>221</v>
      </c>
      <c r="E6" s="26">
        <v>28100</v>
      </c>
    </row>
    <row r="7" spans="1:5" ht="12.75">
      <c r="A7" s="26">
        <v>15450</v>
      </c>
      <c r="B7" s="25" t="s">
        <v>160</v>
      </c>
      <c r="D7" s="25" t="s">
        <v>153</v>
      </c>
      <c r="E7" s="26">
        <v>14100</v>
      </c>
    </row>
    <row r="8" spans="1:5" ht="12.75">
      <c r="A8" s="26">
        <v>15500</v>
      </c>
      <c r="B8" s="25" t="s">
        <v>184</v>
      </c>
      <c r="D8" s="25" t="s">
        <v>345</v>
      </c>
      <c r="E8" s="26">
        <v>45410</v>
      </c>
    </row>
    <row r="9" spans="1:5" ht="12.75">
      <c r="A9" s="26">
        <v>15550</v>
      </c>
      <c r="B9" s="25" t="s">
        <v>195</v>
      </c>
      <c r="D9" s="25" t="s">
        <v>211</v>
      </c>
      <c r="E9" s="26">
        <v>21800</v>
      </c>
    </row>
    <row r="10" spans="1:5" ht="12.75">
      <c r="A10" s="26">
        <v>15600</v>
      </c>
      <c r="B10" s="25" t="s">
        <v>349</v>
      </c>
      <c r="D10" s="25" t="s">
        <v>317</v>
      </c>
      <c r="E10" s="26">
        <v>76300</v>
      </c>
    </row>
    <row r="11" spans="1:5" ht="12.75">
      <c r="A11" s="26">
        <v>15650</v>
      </c>
      <c r="B11" s="25" t="s">
        <v>196</v>
      </c>
      <c r="D11" s="25" t="s">
        <v>246</v>
      </c>
      <c r="E11" s="26">
        <v>37000</v>
      </c>
    </row>
    <row r="12" spans="1:5" ht="12.75">
      <c r="A12" s="26">
        <v>15950</v>
      </c>
      <c r="B12" s="25" t="s">
        <v>203</v>
      </c>
      <c r="D12" s="25" t="s">
        <v>289</v>
      </c>
      <c r="E12" s="26">
        <v>55400</v>
      </c>
    </row>
    <row r="13" spans="1:5" ht="12.75">
      <c r="A13" s="26">
        <v>21500</v>
      </c>
      <c r="B13" s="25" t="s">
        <v>205</v>
      </c>
      <c r="D13" s="25" t="s">
        <v>214</v>
      </c>
      <c r="E13" s="26">
        <v>22000</v>
      </c>
    </row>
    <row r="14" spans="1:5" ht="12.75">
      <c r="A14" s="26">
        <v>21800</v>
      </c>
      <c r="B14" s="25" t="s">
        <v>211</v>
      </c>
      <c r="D14" s="25" t="s">
        <v>311</v>
      </c>
      <c r="E14" s="26">
        <v>75000</v>
      </c>
    </row>
    <row r="15" spans="1:5" ht="12.75">
      <c r="A15" s="26">
        <v>22000</v>
      </c>
      <c r="B15" s="25" t="s">
        <v>214</v>
      </c>
      <c r="D15" s="25" t="s">
        <v>140</v>
      </c>
      <c r="E15" s="26">
        <v>14000</v>
      </c>
    </row>
    <row r="16" spans="1:5" ht="12.75">
      <c r="A16" s="26">
        <v>22100</v>
      </c>
      <c r="B16" s="25" t="s">
        <v>450</v>
      </c>
      <c r="D16" s="25" t="s">
        <v>250</v>
      </c>
      <c r="E16" s="26">
        <v>39200</v>
      </c>
    </row>
    <row r="17" spans="1:5" ht="12.75">
      <c r="A17" s="26">
        <v>24000</v>
      </c>
      <c r="B17" s="25" t="s">
        <v>215</v>
      </c>
      <c r="D17" s="25" t="s">
        <v>243</v>
      </c>
      <c r="E17" s="26">
        <v>36000</v>
      </c>
    </row>
    <row r="18" spans="1:5" ht="12.75">
      <c r="A18" s="26">
        <v>24500</v>
      </c>
      <c r="B18" s="25" t="s">
        <v>217</v>
      </c>
      <c r="D18" s="25" t="s">
        <v>183</v>
      </c>
      <c r="E18" s="26">
        <v>13000</v>
      </c>
    </row>
    <row r="19" spans="1:5" ht="12.75">
      <c r="A19" s="26">
        <v>26000</v>
      </c>
      <c r="B19" s="25" t="s">
        <v>218</v>
      </c>
      <c r="D19" s="25" t="s">
        <v>310</v>
      </c>
      <c r="E19" s="26">
        <v>71400</v>
      </c>
    </row>
    <row r="20" spans="1:5" ht="12.75">
      <c r="A20" s="26">
        <v>27000</v>
      </c>
      <c r="B20" s="25" t="s">
        <v>219</v>
      </c>
      <c r="D20" s="25" t="s">
        <v>196</v>
      </c>
      <c r="E20" s="26">
        <v>15650</v>
      </c>
    </row>
    <row r="21" spans="1:5" ht="12.75">
      <c r="A21" s="26">
        <v>28000</v>
      </c>
      <c r="B21" s="25" t="s">
        <v>220</v>
      </c>
      <c r="D21" s="25" t="s">
        <v>203</v>
      </c>
      <c r="E21" s="26">
        <v>15950</v>
      </c>
    </row>
    <row r="22" spans="1:5" ht="12.75">
      <c r="A22" s="26">
        <v>28100</v>
      </c>
      <c r="B22" s="25" t="s">
        <v>221</v>
      </c>
      <c r="D22" s="25" t="s">
        <v>167</v>
      </c>
      <c r="E22" s="26">
        <v>10000</v>
      </c>
    </row>
    <row r="23" spans="1:5" ht="12.75">
      <c r="A23" s="26">
        <v>28110</v>
      </c>
      <c r="B23" s="25" t="s">
        <v>661</v>
      </c>
      <c r="D23" s="25" t="s">
        <v>219</v>
      </c>
      <c r="E23" s="26">
        <v>27000</v>
      </c>
    </row>
    <row r="24" spans="1:5" ht="12.75">
      <c r="A24" s="26">
        <v>33000</v>
      </c>
      <c r="B24" s="25" t="s">
        <v>222</v>
      </c>
      <c r="D24" s="25" t="s">
        <v>277</v>
      </c>
      <c r="E24" s="26">
        <v>51000</v>
      </c>
    </row>
    <row r="25" spans="1:5" ht="12.75">
      <c r="A25" s="26">
        <v>33260</v>
      </c>
      <c r="B25" s="25" t="s">
        <v>233</v>
      </c>
      <c r="D25" s="25" t="s">
        <v>256</v>
      </c>
      <c r="E25" s="26">
        <v>42000</v>
      </c>
    </row>
    <row r="26" spans="1:5" ht="12.75">
      <c r="A26" s="26">
        <v>34200</v>
      </c>
      <c r="B26" s="25" t="s">
        <v>343</v>
      </c>
      <c r="D26" s="25" t="s">
        <v>305</v>
      </c>
      <c r="E26" s="26">
        <v>61900</v>
      </c>
    </row>
    <row r="27" spans="1:5" ht="12.75">
      <c r="A27" s="26">
        <v>36000</v>
      </c>
      <c r="B27" s="25" t="s">
        <v>243</v>
      </c>
      <c r="D27" s="25" t="s">
        <v>349</v>
      </c>
      <c r="E27" s="26">
        <v>15600</v>
      </c>
    </row>
    <row r="28" spans="1:5" ht="12.75">
      <c r="A28" s="26">
        <v>37000</v>
      </c>
      <c r="B28" s="25" t="s">
        <v>246</v>
      </c>
      <c r="D28" s="25" t="s">
        <v>233</v>
      </c>
      <c r="E28" s="26">
        <v>33260</v>
      </c>
    </row>
    <row r="29" spans="1:5" ht="12.75">
      <c r="A29" s="26">
        <v>39100</v>
      </c>
      <c r="B29" s="25" t="s">
        <v>249</v>
      </c>
      <c r="D29" s="25" t="s">
        <v>218</v>
      </c>
      <c r="E29" s="26">
        <v>26000</v>
      </c>
    </row>
    <row r="30" spans="1:5" ht="12.75">
      <c r="A30" s="26">
        <v>39200</v>
      </c>
      <c r="B30" s="25" t="s">
        <v>250</v>
      </c>
      <c r="D30" s="25" t="s">
        <v>158</v>
      </c>
      <c r="E30" s="26">
        <v>15300</v>
      </c>
    </row>
    <row r="31" spans="1:5" ht="12.75">
      <c r="A31" s="26">
        <v>41000</v>
      </c>
      <c r="B31" s="25" t="s">
        <v>251</v>
      </c>
      <c r="D31" s="25" t="s">
        <v>306</v>
      </c>
      <c r="E31" s="26">
        <v>65100</v>
      </c>
    </row>
    <row r="32" spans="1:5" ht="12.75">
      <c r="A32" s="26">
        <v>42000</v>
      </c>
      <c r="B32" s="25" t="s">
        <v>256</v>
      </c>
      <c r="D32" s="25" t="s">
        <v>504</v>
      </c>
      <c r="E32" s="26">
        <v>76400</v>
      </c>
    </row>
    <row r="33" spans="1:5" ht="12.75">
      <c r="A33" s="26">
        <v>44100</v>
      </c>
      <c r="B33" s="25" t="s">
        <v>344</v>
      </c>
      <c r="D33" s="25" t="s">
        <v>215</v>
      </c>
      <c r="E33" s="26">
        <v>24000</v>
      </c>
    </row>
    <row r="34" spans="1:7" ht="12.75">
      <c r="A34" s="26">
        <v>45410</v>
      </c>
      <c r="B34" s="25" t="s">
        <v>345</v>
      </c>
      <c r="D34" s="25" t="s">
        <v>346</v>
      </c>
      <c r="E34" s="26">
        <v>49000</v>
      </c>
      <c r="G34" s="6"/>
    </row>
    <row r="35" spans="1:5" ht="12.75">
      <c r="A35" s="26">
        <v>49000</v>
      </c>
      <c r="B35" s="25" t="s">
        <v>346</v>
      </c>
      <c r="D35" s="25" t="s">
        <v>500</v>
      </c>
      <c r="E35" s="26">
        <v>51000</v>
      </c>
    </row>
    <row r="36" spans="1:8" ht="12.75">
      <c r="A36" s="26">
        <v>51000</v>
      </c>
      <c r="B36" s="25" t="s">
        <v>277</v>
      </c>
      <c r="D36" s="25" t="s">
        <v>661</v>
      </c>
      <c r="E36" s="26">
        <v>28110</v>
      </c>
      <c r="G36" s="6"/>
      <c r="H36" s="33"/>
    </row>
    <row r="37" spans="1:8" ht="12.75">
      <c r="A37" s="26">
        <v>51000</v>
      </c>
      <c r="B37" s="25" t="s">
        <v>500</v>
      </c>
      <c r="D37" s="25" t="s">
        <v>217</v>
      </c>
      <c r="E37" s="26">
        <v>24500</v>
      </c>
      <c r="H37" s="6"/>
    </row>
    <row r="38" spans="1:5" ht="12.75">
      <c r="A38" s="26">
        <v>54000</v>
      </c>
      <c r="B38" s="25" t="s">
        <v>282</v>
      </c>
      <c r="D38" s="25" t="s">
        <v>220</v>
      </c>
      <c r="E38" s="26">
        <v>28000</v>
      </c>
    </row>
    <row r="39" spans="1:5" ht="12.75">
      <c r="A39" s="26">
        <v>55200</v>
      </c>
      <c r="B39" s="25" t="s">
        <v>284</v>
      </c>
      <c r="D39" s="25" t="s">
        <v>251</v>
      </c>
      <c r="E39" s="26">
        <v>41000</v>
      </c>
    </row>
    <row r="40" spans="1:5" ht="12.75">
      <c r="A40" s="26">
        <v>55400</v>
      </c>
      <c r="B40" s="25" t="s">
        <v>289</v>
      </c>
      <c r="D40" s="25" t="s">
        <v>291</v>
      </c>
      <c r="E40" s="26">
        <v>61000</v>
      </c>
    </row>
    <row r="41" spans="1:5" ht="12.75">
      <c r="A41" s="26">
        <v>61000</v>
      </c>
      <c r="B41" s="25" t="s">
        <v>291</v>
      </c>
      <c r="D41" s="25" t="s">
        <v>195</v>
      </c>
      <c r="E41" s="26">
        <v>15550</v>
      </c>
    </row>
    <row r="42" spans="1:5" ht="12.75">
      <c r="A42" s="26">
        <v>61900</v>
      </c>
      <c r="B42" s="25" t="s">
        <v>305</v>
      </c>
      <c r="D42" s="25" t="s">
        <v>284</v>
      </c>
      <c r="E42" s="26">
        <v>55200</v>
      </c>
    </row>
    <row r="43" spans="1:5" ht="12.75">
      <c r="A43" s="26">
        <v>65100</v>
      </c>
      <c r="B43" s="25" t="s">
        <v>306</v>
      </c>
      <c r="D43" s="25" t="s">
        <v>222</v>
      </c>
      <c r="E43" s="26">
        <v>33000</v>
      </c>
    </row>
    <row r="44" spans="1:5" ht="12.75">
      <c r="A44" s="26">
        <v>71300</v>
      </c>
      <c r="B44" s="25" t="s">
        <v>308</v>
      </c>
      <c r="D44" s="25" t="s">
        <v>205</v>
      </c>
      <c r="E44" s="26">
        <v>21500</v>
      </c>
    </row>
    <row r="45" spans="1:5" ht="12.75">
      <c r="A45" s="26">
        <v>71400</v>
      </c>
      <c r="B45" s="25" t="s">
        <v>310</v>
      </c>
      <c r="D45" s="25" t="s">
        <v>184</v>
      </c>
      <c r="E45" s="26">
        <v>15500</v>
      </c>
    </row>
    <row r="46" spans="1:5" ht="12.75">
      <c r="A46" s="26">
        <v>75000</v>
      </c>
      <c r="B46" s="25" t="s">
        <v>311</v>
      </c>
      <c r="D46" s="25" t="s">
        <v>160</v>
      </c>
      <c r="E46" s="26">
        <v>15450</v>
      </c>
    </row>
    <row r="47" spans="1:5" ht="12.75">
      <c r="A47" s="26">
        <v>75630</v>
      </c>
      <c r="B47" s="25" t="s">
        <v>315</v>
      </c>
      <c r="D47" s="25" t="s">
        <v>450</v>
      </c>
      <c r="E47" s="26">
        <v>22100</v>
      </c>
    </row>
    <row r="48" spans="1:5" ht="12.75">
      <c r="A48" s="26">
        <v>76300</v>
      </c>
      <c r="B48" s="25" t="s">
        <v>317</v>
      </c>
      <c r="D48" s="25" t="s">
        <v>344</v>
      </c>
      <c r="E48" s="26">
        <v>44100</v>
      </c>
    </row>
    <row r="49" spans="1:5" ht="12.75">
      <c r="A49" s="26">
        <v>76400</v>
      </c>
      <c r="B49" s="25" t="s">
        <v>504</v>
      </c>
      <c r="D49" s="25" t="s">
        <v>282</v>
      </c>
      <c r="E49" s="26">
        <v>54000</v>
      </c>
    </row>
    <row r="50" spans="4:5" ht="12.75">
      <c r="D50" s="22"/>
      <c r="E50" s="2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A106"/>
  <sheetViews>
    <sheetView workbookViewId="0" topLeftCell="A3">
      <pane ySplit="1275" topLeftCell="BM16" activePane="bottomLeft" state="split"/>
      <selection pane="topLeft" activeCell="O4" sqref="O4"/>
      <selection pane="bottomLeft" activeCell="U51" sqref="U5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hidden="1" customWidth="1"/>
    <col min="11" max="11" width="9.140625" style="0" hidden="1" customWidth="1"/>
    <col min="17" max="19" width="11.7109375" style="0" customWidth="1"/>
    <col min="20" max="20" width="12.140625" style="0" bestFit="1" customWidth="1"/>
    <col min="21" max="21" width="10.28125" style="0" bestFit="1" customWidth="1"/>
    <col min="22" max="22" width="11.7109375" style="0" customWidth="1"/>
  </cols>
  <sheetData>
    <row r="1" spans="1:15" ht="12.75">
      <c r="A1" t="s">
        <v>109</v>
      </c>
      <c r="O1" s="6"/>
    </row>
    <row r="2" spans="1:16" ht="12.75">
      <c r="A2" t="s">
        <v>110</v>
      </c>
      <c r="O2" s="159"/>
      <c r="P2" s="159"/>
    </row>
    <row r="3" spans="1:21" ht="12.75">
      <c r="A3" s="6" t="s">
        <v>438</v>
      </c>
      <c r="O3" s="56">
        <v>9</v>
      </c>
      <c r="U3" s="1" t="s">
        <v>434</v>
      </c>
    </row>
    <row r="4" spans="2:21" ht="12.75">
      <c r="B4" s="14"/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468</v>
      </c>
      <c r="Q5" s="1" t="s">
        <v>112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7" ht="12.75">
      <c r="A7" s="22" t="s">
        <v>652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203111</v>
      </c>
      <c r="N7" s="2">
        <v>213477</v>
      </c>
      <c r="O7" s="2">
        <v>157044</v>
      </c>
      <c r="P7" s="2">
        <f>+O7/$O$3*12</f>
        <v>209392</v>
      </c>
      <c r="Q7" s="20">
        <v>217853.34</v>
      </c>
      <c r="R7" s="20">
        <v>175294.68</v>
      </c>
      <c r="S7" s="20">
        <v>175294.68</v>
      </c>
      <c r="T7" s="20">
        <v>175294.68</v>
      </c>
      <c r="U7" s="89">
        <f>(T7-Q7)/Q7</f>
        <v>-0.1953546362887987</v>
      </c>
      <c r="V7" s="33" t="s">
        <v>1070</v>
      </c>
      <c r="Y7" s="173"/>
      <c r="Z7" s="159"/>
      <c r="AA7" s="173"/>
    </row>
    <row r="8" spans="1:27" ht="12.75">
      <c r="A8" s="22" t="s">
        <v>96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900</v>
      </c>
      <c r="P8" s="2">
        <v>10000</v>
      </c>
      <c r="Q8" s="2">
        <v>10000</v>
      </c>
      <c r="R8" s="2">
        <v>10000</v>
      </c>
      <c r="S8" s="2"/>
      <c r="T8" s="2"/>
      <c r="U8" s="89"/>
      <c r="V8" s="33" t="s">
        <v>511</v>
      </c>
      <c r="Y8" s="173"/>
      <c r="Z8" s="159"/>
      <c r="AA8" s="173"/>
    </row>
    <row r="9" spans="1:27" ht="12.75">
      <c r="A9" s="22" t="s">
        <v>1097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43000</v>
      </c>
      <c r="S9" s="2">
        <v>43000</v>
      </c>
      <c r="T9" s="2">
        <v>43000</v>
      </c>
      <c r="U9" s="89"/>
      <c r="V9" s="20"/>
      <c r="Y9" s="173"/>
      <c r="Z9" s="159"/>
      <c r="AA9" s="173"/>
    </row>
    <row r="10" spans="1:22" ht="12.75">
      <c r="A10" t="s">
        <v>439</v>
      </c>
      <c r="B10" s="4">
        <v>51.12</v>
      </c>
      <c r="C10" s="2"/>
      <c r="D10" s="2"/>
      <c r="E10" s="2"/>
      <c r="F10" s="2"/>
      <c r="G10" s="2"/>
      <c r="H10" s="2">
        <v>4136</v>
      </c>
      <c r="I10" s="2">
        <v>27700</v>
      </c>
      <c r="J10" s="2">
        <v>3577</v>
      </c>
      <c r="K10" s="2">
        <v>9957</v>
      </c>
      <c r="L10" s="2">
        <v>28454</v>
      </c>
      <c r="M10" s="2">
        <v>19608</v>
      </c>
      <c r="N10" s="2">
        <v>13407</v>
      </c>
      <c r="O10" s="2"/>
      <c r="P10" s="2"/>
      <c r="Q10" s="2"/>
      <c r="R10" s="2">
        <v>10000</v>
      </c>
      <c r="S10" s="2"/>
      <c r="T10" s="2"/>
      <c r="U10" s="89"/>
      <c r="V10" s="33" t="s">
        <v>511</v>
      </c>
    </row>
    <row r="11" spans="1:22" ht="12.75">
      <c r="A11" t="s">
        <v>494</v>
      </c>
      <c r="B11" s="4">
        <v>51.1205</v>
      </c>
      <c r="C11" s="2"/>
      <c r="D11" s="2"/>
      <c r="E11" s="2"/>
      <c r="F11" s="2"/>
      <c r="G11" s="2"/>
      <c r="H11" s="2">
        <v>5250</v>
      </c>
      <c r="I11" s="2">
        <v>10675</v>
      </c>
      <c r="J11" s="2">
        <v>12550</v>
      </c>
      <c r="K11" s="2">
        <v>7675</v>
      </c>
      <c r="L11" s="2">
        <v>5275</v>
      </c>
      <c r="M11" s="2">
        <v>7050</v>
      </c>
      <c r="N11" s="2">
        <v>10200</v>
      </c>
      <c r="O11" s="2">
        <v>11225</v>
      </c>
      <c r="P11" s="2">
        <f>+O11/$O$3*12</f>
        <v>14966.666666666666</v>
      </c>
      <c r="Q11" s="2">
        <v>10000</v>
      </c>
      <c r="R11" s="2">
        <v>10000</v>
      </c>
      <c r="S11" s="2">
        <v>10000</v>
      </c>
      <c r="T11" s="2">
        <v>10000</v>
      </c>
      <c r="U11" s="89"/>
      <c r="V11" s="33"/>
    </row>
    <row r="12" spans="1:22" ht="12.75">
      <c r="A12" t="s">
        <v>154</v>
      </c>
      <c r="B12" s="4">
        <v>51.13</v>
      </c>
      <c r="C12" s="2"/>
      <c r="D12" s="2"/>
      <c r="E12" s="2"/>
      <c r="F12" s="2"/>
      <c r="G12" s="2"/>
      <c r="H12" s="2"/>
      <c r="I12" s="2"/>
      <c r="J12" s="2">
        <v>1909</v>
      </c>
      <c r="K12" s="2"/>
      <c r="L12" s="2">
        <v>22</v>
      </c>
      <c r="M12" s="2"/>
      <c r="N12" s="2">
        <v>2</v>
      </c>
      <c r="O12" s="2">
        <v>4635</v>
      </c>
      <c r="P12" s="2">
        <v>5000</v>
      </c>
      <c r="Q12" s="2"/>
      <c r="R12" s="2">
        <v>2500</v>
      </c>
      <c r="S12" s="2"/>
      <c r="T12" s="2"/>
      <c r="U12" s="89"/>
      <c r="V12" s="33" t="s">
        <v>511</v>
      </c>
    </row>
    <row r="13" spans="1:23" ht="12.75">
      <c r="A13" t="s">
        <v>490</v>
      </c>
      <c r="B13" s="4">
        <v>51.21</v>
      </c>
      <c r="C13" s="2">
        <v>5657</v>
      </c>
      <c r="D13" s="2">
        <v>9443</v>
      </c>
      <c r="E13" s="2">
        <v>12746</v>
      </c>
      <c r="F13" s="2">
        <v>10123</v>
      </c>
      <c r="G13" s="2">
        <v>12051</v>
      </c>
      <c r="H13" s="2">
        <v>10024</v>
      </c>
      <c r="I13" s="2">
        <v>9979</v>
      </c>
      <c r="J13" s="2">
        <v>12751</v>
      </c>
      <c r="K13" s="2">
        <v>16749</v>
      </c>
      <c r="L13" s="2">
        <v>22302</v>
      </c>
      <c r="M13" s="2">
        <v>27453</v>
      </c>
      <c r="N13" s="2">
        <v>30863</v>
      </c>
      <c r="O13" s="2">
        <v>20331</v>
      </c>
      <c r="P13" s="2">
        <f>+O13/$O$3*12</f>
        <v>27108</v>
      </c>
      <c r="Q13" s="31">
        <v>34720</v>
      </c>
      <c r="R13" s="31">
        <v>26755</v>
      </c>
      <c r="S13" s="31">
        <f>5*5351</f>
        <v>26755</v>
      </c>
      <c r="T13" s="31">
        <f>5*5351</f>
        <v>26755</v>
      </c>
      <c r="U13" s="89">
        <f>(T13-Q13)/Q13</f>
        <v>-0.22940668202764977</v>
      </c>
      <c r="V13" s="33" t="s">
        <v>1071</v>
      </c>
      <c r="W13" s="2"/>
    </row>
    <row r="14" spans="1:22" ht="12.75">
      <c r="A14" t="s">
        <v>141</v>
      </c>
      <c r="B14" s="4">
        <v>51.22</v>
      </c>
      <c r="C14" s="2">
        <v>6943</v>
      </c>
      <c r="D14" s="2">
        <v>9290</v>
      </c>
      <c r="E14" s="2">
        <v>8266</v>
      </c>
      <c r="F14" s="2">
        <v>10901</v>
      </c>
      <c r="G14" s="2">
        <v>11572</v>
      </c>
      <c r="H14" s="2">
        <v>8408</v>
      </c>
      <c r="I14" s="2">
        <v>11364</v>
      </c>
      <c r="J14" s="2">
        <v>11290</v>
      </c>
      <c r="K14" s="2">
        <v>12852</v>
      </c>
      <c r="L14" s="2">
        <v>17501.83</v>
      </c>
      <c r="M14" s="2">
        <v>17023</v>
      </c>
      <c r="N14" s="2">
        <v>17505</v>
      </c>
      <c r="O14" s="2">
        <v>12563</v>
      </c>
      <c r="P14" s="2">
        <f>(P7+P10+P11+P12)*0.0765</f>
        <v>17545.938</v>
      </c>
      <c r="Q14" s="2">
        <f>(Q7+Q10+Q11+Q8+Q12)*0.0765</f>
        <v>18195.78051</v>
      </c>
      <c r="R14" s="2">
        <f>(R7+R10+R11+R9+R12+R8)*0.0765</f>
        <v>19185.793019999997</v>
      </c>
      <c r="S14" s="2">
        <f>(S7+S10+S11+S9+S12+S8)*0.0765</f>
        <v>17464.543019999997</v>
      </c>
      <c r="T14" s="2">
        <f>(T7+T10+T11+T9+T12+T8)*0.0765</f>
        <v>17464.543019999997</v>
      </c>
      <c r="U14" s="89">
        <f>(T14-Q14)/Q14</f>
        <v>-0.04018720107104672</v>
      </c>
      <c r="V14" s="33"/>
    </row>
    <row r="15" spans="1:22" ht="12.75">
      <c r="A15" t="s">
        <v>155</v>
      </c>
      <c r="B15" s="4">
        <v>51.24</v>
      </c>
      <c r="C15" s="2">
        <v>1439</v>
      </c>
      <c r="D15" s="2">
        <v>1639</v>
      </c>
      <c r="E15" s="2">
        <v>1781</v>
      </c>
      <c r="F15" s="2">
        <v>1267</v>
      </c>
      <c r="G15" s="2">
        <v>1629</v>
      </c>
      <c r="H15" s="2">
        <v>1778</v>
      </c>
      <c r="I15" s="2">
        <v>1382</v>
      </c>
      <c r="J15" s="2">
        <v>301</v>
      </c>
      <c r="K15" s="2">
        <v>785</v>
      </c>
      <c r="L15" s="2">
        <v>999</v>
      </c>
      <c r="M15" s="2">
        <v>392</v>
      </c>
      <c r="N15" s="2">
        <v>1599</v>
      </c>
      <c r="O15" s="2">
        <v>1670</v>
      </c>
      <c r="P15" s="2">
        <v>2000</v>
      </c>
      <c r="Q15" s="20">
        <v>3000</v>
      </c>
      <c r="R15" s="2">
        <v>1000</v>
      </c>
      <c r="S15" s="20">
        <v>1000</v>
      </c>
      <c r="T15" s="20">
        <v>1000</v>
      </c>
      <c r="U15" s="89">
        <f>(T15-Q15)/Q15</f>
        <v>-0.6666666666666666</v>
      </c>
      <c r="V15" s="33"/>
    </row>
    <row r="16" spans="1:23" ht="12.75">
      <c r="A16" t="s">
        <v>705</v>
      </c>
      <c r="B16" s="4">
        <v>51.26</v>
      </c>
      <c r="C16" s="2"/>
      <c r="D16" s="2"/>
      <c r="E16" s="2"/>
      <c r="F16" s="2"/>
      <c r="G16" s="2"/>
      <c r="H16" s="2"/>
      <c r="I16" s="2"/>
      <c r="J16" s="2"/>
      <c r="K16" s="2">
        <v>1477</v>
      </c>
      <c r="L16" s="2"/>
      <c r="M16" s="2">
        <v>1476</v>
      </c>
      <c r="N16" s="2">
        <v>820</v>
      </c>
      <c r="O16" s="2"/>
      <c r="P16" s="2">
        <f>+O16/$O$3*12</f>
        <v>0</v>
      </c>
      <c r="Q16" s="20"/>
      <c r="R16" s="2"/>
      <c r="S16" s="20"/>
      <c r="T16" s="20"/>
      <c r="U16" s="89"/>
      <c r="W16" s="2"/>
    </row>
    <row r="17" spans="1:21" ht="12.75">
      <c r="A17" t="s">
        <v>1018</v>
      </c>
      <c r="B17" s="4">
        <v>51.27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2159</v>
      </c>
      <c r="P17" s="2">
        <v>2159</v>
      </c>
      <c r="Q17" s="2">
        <v>2159</v>
      </c>
      <c r="R17" s="2">
        <v>2200</v>
      </c>
      <c r="S17" s="2">
        <v>2200</v>
      </c>
      <c r="T17" s="2">
        <v>2200</v>
      </c>
      <c r="U17" s="89"/>
    </row>
    <row r="18" spans="2:23" ht="12.75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9"/>
      <c r="W18" s="2"/>
    </row>
    <row r="19" spans="1:21" ht="12.75" hidden="1">
      <c r="A19" t="s">
        <v>159</v>
      </c>
      <c r="B19" s="4">
        <v>52.12</v>
      </c>
      <c r="C19" s="2">
        <v>14964</v>
      </c>
      <c r="D19" s="2">
        <v>17525</v>
      </c>
      <c r="E19" s="2"/>
      <c r="F19" s="2">
        <v>5000</v>
      </c>
      <c r="G19" s="2">
        <v>12128</v>
      </c>
      <c r="H19" s="2"/>
      <c r="I19" s="2">
        <v>2400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2:21" ht="12.75" hidden="1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9"/>
    </row>
    <row r="21" spans="1:21" ht="12.75">
      <c r="A21" t="s">
        <v>538</v>
      </c>
      <c r="B21" s="4">
        <v>52.121</v>
      </c>
      <c r="C21" s="2"/>
      <c r="D21" s="2"/>
      <c r="E21" s="2"/>
      <c r="F21" s="2"/>
      <c r="G21" s="2"/>
      <c r="H21" s="2">
        <v>4070</v>
      </c>
      <c r="I21" s="2">
        <f>6924+181</f>
        <v>7105</v>
      </c>
      <c r="J21" s="2">
        <v>13709</v>
      </c>
      <c r="K21" s="2">
        <v>4998</v>
      </c>
      <c r="L21" s="2">
        <v>154</v>
      </c>
      <c r="M21" s="2">
        <v>1134</v>
      </c>
      <c r="N21" s="2">
        <v>130</v>
      </c>
      <c r="O21" s="2">
        <v>976</v>
      </c>
      <c r="P21" s="2">
        <f>+O21/$O$3*12</f>
        <v>1301.3333333333333</v>
      </c>
      <c r="Q21" s="2">
        <v>1000</v>
      </c>
      <c r="R21" s="2">
        <v>1000</v>
      </c>
      <c r="S21" s="2">
        <v>1000</v>
      </c>
      <c r="T21" s="2">
        <v>1000</v>
      </c>
      <c r="U21" s="89"/>
    </row>
    <row r="22" spans="1:21" ht="12.75">
      <c r="A22" t="s">
        <v>566</v>
      </c>
      <c r="B22" s="4">
        <v>52.1211</v>
      </c>
      <c r="C22" s="2"/>
      <c r="D22" s="2"/>
      <c r="E22" s="2"/>
      <c r="F22" s="2"/>
      <c r="G22" s="2"/>
      <c r="H22" s="2">
        <v>23801</v>
      </c>
      <c r="I22" s="2">
        <f>16287+1520</f>
        <v>17807</v>
      </c>
      <c r="J22" s="2">
        <v>23412</v>
      </c>
      <c r="K22" s="2">
        <v>17558</v>
      </c>
      <c r="L22" s="2">
        <v>11027</v>
      </c>
      <c r="M22" s="2">
        <v>12783</v>
      </c>
      <c r="N22" s="2">
        <v>27606</v>
      </c>
      <c r="O22" s="2">
        <v>16947</v>
      </c>
      <c r="P22" s="2">
        <f>+O22/$O$3*12</f>
        <v>22596</v>
      </c>
      <c r="Q22" s="2">
        <v>19302</v>
      </c>
      <c r="R22" s="2">
        <v>35000</v>
      </c>
      <c r="S22" s="2">
        <v>25000</v>
      </c>
      <c r="T22" s="2">
        <v>25000</v>
      </c>
      <c r="U22" s="89"/>
    </row>
    <row r="23" spans="1:21" ht="12.75" hidden="1">
      <c r="A23" t="s">
        <v>185</v>
      </c>
      <c r="B23" s="4">
        <v>52.1213</v>
      </c>
      <c r="C23" s="2"/>
      <c r="D23" s="2"/>
      <c r="E23" s="2">
        <v>44955</v>
      </c>
      <c r="F23" s="2">
        <v>26399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1" ht="12.75" hidden="1">
      <c r="A24" t="s">
        <v>585</v>
      </c>
      <c r="B24" s="4">
        <v>52.1215</v>
      </c>
      <c r="C24" s="2"/>
      <c r="D24" s="2"/>
      <c r="E24" s="2"/>
      <c r="F24" s="2"/>
      <c r="G24" s="2"/>
      <c r="H24" s="2">
        <v>596</v>
      </c>
      <c r="I24" s="2"/>
      <c r="J24" s="2"/>
      <c r="K24" s="2"/>
      <c r="L24" s="2"/>
      <c r="M24" s="2"/>
      <c r="N24" s="2"/>
      <c r="O24" s="2"/>
      <c r="P24" s="2">
        <f>+O24/$O$3*12</f>
        <v>0</v>
      </c>
      <c r="Q24" s="2"/>
      <c r="R24" s="2"/>
      <c r="S24" s="2"/>
      <c r="T24" s="2"/>
      <c r="U24" s="89"/>
    </row>
    <row r="25" spans="1:21" ht="12.75" hidden="1">
      <c r="A25" t="s">
        <v>762</v>
      </c>
      <c r="B25" s="4">
        <v>52.123</v>
      </c>
      <c r="C25" s="2"/>
      <c r="D25" s="2"/>
      <c r="E25" s="2"/>
      <c r="F25" s="2"/>
      <c r="G25" s="2"/>
      <c r="H25" s="2"/>
      <c r="I25" s="2"/>
      <c r="J25" s="2"/>
      <c r="K25" s="2">
        <v>4125</v>
      </c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1017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7500</v>
      </c>
      <c r="P26" s="2">
        <v>7500</v>
      </c>
      <c r="Q26" s="2">
        <v>7500</v>
      </c>
      <c r="R26" s="2"/>
      <c r="S26" s="2"/>
      <c r="T26" s="2"/>
      <c r="U26" s="89"/>
    </row>
    <row r="27" spans="1:21" ht="12.75">
      <c r="A27" t="s">
        <v>1093</v>
      </c>
      <c r="B27" s="4">
        <v>52.1225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14975</v>
      </c>
      <c r="P27" s="2">
        <v>30000</v>
      </c>
      <c r="Q27" s="2"/>
      <c r="R27" s="2"/>
      <c r="S27" s="2"/>
      <c r="T27" s="2"/>
      <c r="U27" s="89"/>
    </row>
    <row r="28" spans="1:21" ht="12.75">
      <c r="A28" t="s">
        <v>290</v>
      </c>
      <c r="B28" s="4">
        <v>52.126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104</v>
      </c>
      <c r="O28" s="2">
        <v>105</v>
      </c>
      <c r="P28" s="2">
        <v>105</v>
      </c>
      <c r="Q28" s="2"/>
      <c r="R28" s="2"/>
      <c r="S28" s="2"/>
      <c r="T28" s="2"/>
      <c r="U28" s="89"/>
    </row>
    <row r="29" spans="1:21" ht="12.75">
      <c r="A29" s="33" t="s">
        <v>586</v>
      </c>
      <c r="B29" s="4">
        <v>52.13</v>
      </c>
      <c r="C29" s="2"/>
      <c r="D29" s="2"/>
      <c r="E29" s="2"/>
      <c r="F29" s="2">
        <v>14307</v>
      </c>
      <c r="G29" s="2">
        <v>5000</v>
      </c>
      <c r="H29" s="2">
        <v>4500</v>
      </c>
      <c r="I29" s="2">
        <v>5000</v>
      </c>
      <c r="J29" s="2">
        <v>3230</v>
      </c>
      <c r="K29" s="2">
        <v>767</v>
      </c>
      <c r="L29" s="2">
        <v>528</v>
      </c>
      <c r="M29" s="2"/>
      <c r="N29" s="2"/>
      <c r="O29" s="2"/>
      <c r="P29" s="2">
        <f>+O29/$O$3*12</f>
        <v>0</v>
      </c>
      <c r="Q29" s="2"/>
      <c r="R29" s="2"/>
      <c r="S29" s="2"/>
      <c r="T29" s="2"/>
      <c r="U29" s="89"/>
    </row>
    <row r="30" spans="1:21" ht="12.75">
      <c r="A30" t="s">
        <v>1060</v>
      </c>
      <c r="B30" s="4">
        <v>52.1301</v>
      </c>
      <c r="C30" s="2">
        <v>16007</v>
      </c>
      <c r="D30" s="2">
        <v>15821</v>
      </c>
      <c r="E30" s="2">
        <v>17624</v>
      </c>
      <c r="F30" s="2">
        <v>15198</v>
      </c>
      <c r="G30" s="2">
        <v>15682</v>
      </c>
      <c r="H30" s="2">
        <v>10692</v>
      </c>
      <c r="I30" s="2">
        <v>15692</v>
      </c>
      <c r="J30" s="2">
        <v>3318</v>
      </c>
      <c r="K30" s="2">
        <v>1000</v>
      </c>
      <c r="L30" s="2">
        <v>1000</v>
      </c>
      <c r="M30" s="2">
        <v>1000</v>
      </c>
      <c r="N30" s="2">
        <v>1000</v>
      </c>
      <c r="O30" s="2"/>
      <c r="P30" s="2">
        <v>1000</v>
      </c>
      <c r="Q30" s="2">
        <v>1000</v>
      </c>
      <c r="R30" s="2">
        <v>1000</v>
      </c>
      <c r="S30" s="2">
        <v>1000</v>
      </c>
      <c r="T30" s="2">
        <v>1000</v>
      </c>
      <c r="U30" s="89">
        <f>(T30-Q30)/Q30</f>
        <v>0</v>
      </c>
    </row>
    <row r="31" spans="1:21" ht="12.75">
      <c r="A31" t="s">
        <v>587</v>
      </c>
      <c r="B31" s="4">
        <v>52.1316</v>
      </c>
      <c r="C31" s="2"/>
      <c r="D31" s="2"/>
      <c r="E31" s="2">
        <v>638</v>
      </c>
      <c r="F31" s="2">
        <v>884</v>
      </c>
      <c r="G31" s="2"/>
      <c r="H31" s="2">
        <v>800</v>
      </c>
      <c r="I31" s="2">
        <f>1308+96</f>
        <v>1404</v>
      </c>
      <c r="J31" s="2">
        <v>620</v>
      </c>
      <c r="K31" s="2"/>
      <c r="L31" s="2">
        <v>938</v>
      </c>
      <c r="M31" s="2"/>
      <c r="N31" s="2"/>
      <c r="O31" s="2"/>
      <c r="P31" s="2"/>
      <c r="Q31" s="2"/>
      <c r="R31" s="2"/>
      <c r="S31" s="2"/>
      <c r="T31" s="2"/>
      <c r="U31" s="89"/>
    </row>
    <row r="32" spans="1:21" ht="12.75" hidden="1">
      <c r="A32" t="s">
        <v>186</v>
      </c>
      <c r="B32" s="4">
        <v>52.2206</v>
      </c>
      <c r="C32" s="2">
        <v>195</v>
      </c>
      <c r="D32" s="2">
        <v>1195</v>
      </c>
      <c r="E32" s="2">
        <v>493</v>
      </c>
      <c r="F32" s="2">
        <v>209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</row>
    <row r="33" spans="1:22" ht="12.75">
      <c r="A33" t="s">
        <v>788</v>
      </c>
      <c r="B33" s="4">
        <v>52.1319</v>
      </c>
      <c r="C33" s="2"/>
      <c r="D33" s="2"/>
      <c r="E33" s="2"/>
      <c r="F33" s="2"/>
      <c r="G33" s="2"/>
      <c r="H33" s="2"/>
      <c r="I33" s="2"/>
      <c r="J33" s="2"/>
      <c r="K33" s="2">
        <v>375</v>
      </c>
      <c r="L33" s="2">
        <v>4500</v>
      </c>
      <c r="M33" s="2">
        <v>4500</v>
      </c>
      <c r="N33" s="2">
        <v>6000</v>
      </c>
      <c r="O33" s="2">
        <v>6500</v>
      </c>
      <c r="P33" s="2">
        <v>7250</v>
      </c>
      <c r="Q33" s="2">
        <v>7250</v>
      </c>
      <c r="R33" s="2">
        <v>10000</v>
      </c>
      <c r="S33" s="2">
        <v>7250</v>
      </c>
      <c r="T33" s="2">
        <v>7250</v>
      </c>
      <c r="U33" s="89"/>
      <c r="V33" t="s">
        <v>511</v>
      </c>
    </row>
    <row r="34" spans="1:22" s="22" customFormat="1" ht="12.75">
      <c r="A34" s="22" t="s">
        <v>793</v>
      </c>
      <c r="B34" s="48">
        <v>52.1326</v>
      </c>
      <c r="C34" s="31"/>
      <c r="D34" s="31"/>
      <c r="E34" s="31"/>
      <c r="F34" s="31"/>
      <c r="G34" s="31"/>
      <c r="H34" s="31"/>
      <c r="I34" s="31"/>
      <c r="J34" s="31"/>
      <c r="K34" s="31">
        <v>5615</v>
      </c>
      <c r="L34" s="31">
        <v>14980</v>
      </c>
      <c r="M34" s="31">
        <v>69331</v>
      </c>
      <c r="N34" s="31"/>
      <c r="O34" s="31">
        <v>26712</v>
      </c>
      <c r="P34" s="31">
        <v>27000</v>
      </c>
      <c r="Q34" s="31">
        <v>26712</v>
      </c>
      <c r="R34" s="31">
        <v>7500</v>
      </c>
      <c r="S34" s="31">
        <v>5000</v>
      </c>
      <c r="T34" s="31">
        <v>5000</v>
      </c>
      <c r="U34" s="51"/>
      <c r="V34" s="33" t="s">
        <v>511</v>
      </c>
    </row>
    <row r="35" spans="1:22" s="22" customFormat="1" ht="12.75">
      <c r="A35" s="22" t="s">
        <v>1031</v>
      </c>
      <c r="B35" s="4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v>26500</v>
      </c>
      <c r="S35" s="31"/>
      <c r="T35" s="31"/>
      <c r="U35" s="51"/>
      <c r="V35" s="33" t="s">
        <v>511</v>
      </c>
    </row>
    <row r="36" spans="1:22" s="22" customFormat="1" ht="12.75">
      <c r="A36" s="22" t="s">
        <v>927</v>
      </c>
      <c r="B36" s="48">
        <v>52.1203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>
        <v>20000</v>
      </c>
      <c r="O36" s="31"/>
      <c r="P36" s="31"/>
      <c r="Q36" s="31"/>
      <c r="R36" s="31"/>
      <c r="S36" s="31"/>
      <c r="T36" s="31"/>
      <c r="U36" s="51"/>
      <c r="V36" s="6"/>
    </row>
    <row r="37" spans="1:22" s="22" customFormat="1" ht="12.75">
      <c r="A37" s="22" t="s">
        <v>940</v>
      </c>
      <c r="B37" s="48">
        <v>52.1329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>
        <v>19334</v>
      </c>
      <c r="N37" s="31"/>
      <c r="O37" s="31"/>
      <c r="P37" s="31"/>
      <c r="Q37" s="31"/>
      <c r="R37" s="31"/>
      <c r="S37" s="31"/>
      <c r="T37" s="31"/>
      <c r="U37" s="51"/>
      <c r="V37" s="6"/>
    </row>
    <row r="38" spans="1:21" ht="12.75">
      <c r="A38" t="s">
        <v>763</v>
      </c>
      <c r="B38" s="4">
        <v>52.2204</v>
      </c>
      <c r="C38" s="2"/>
      <c r="D38" s="2"/>
      <c r="E38" s="2"/>
      <c r="F38" s="2"/>
      <c r="G38" s="2"/>
      <c r="H38" s="2"/>
      <c r="I38" s="2"/>
      <c r="J38" s="2"/>
      <c r="K38" s="2">
        <f>713+244</f>
        <v>957</v>
      </c>
      <c r="L38" s="2">
        <v>75</v>
      </c>
      <c r="M38" s="2">
        <v>861</v>
      </c>
      <c r="N38" s="2">
        <v>600</v>
      </c>
      <c r="O38" s="2">
        <v>753</v>
      </c>
      <c r="P38" s="2">
        <v>800</v>
      </c>
      <c r="Q38" s="2">
        <v>800</v>
      </c>
      <c r="R38" s="2">
        <v>800</v>
      </c>
      <c r="S38" s="2">
        <v>800</v>
      </c>
      <c r="T38" s="2">
        <v>800</v>
      </c>
      <c r="U38" s="89"/>
    </row>
    <row r="39" spans="1:21" ht="12.75">
      <c r="A39" t="s">
        <v>98</v>
      </c>
      <c r="B39" s="4">
        <v>52.2314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10800</v>
      </c>
      <c r="N39" s="2">
        <v>5400</v>
      </c>
      <c r="O39" s="2"/>
      <c r="P39" s="2"/>
      <c r="Q39" s="2"/>
      <c r="R39" s="2"/>
      <c r="S39" s="2"/>
      <c r="T39" s="2"/>
      <c r="U39" s="89"/>
    </row>
    <row r="40" spans="1:21" ht="12.75">
      <c r="A40" t="s">
        <v>143</v>
      </c>
      <c r="B40" s="4">
        <v>52.32</v>
      </c>
      <c r="C40" s="2">
        <v>1825</v>
      </c>
      <c r="D40" s="2">
        <v>2502</v>
      </c>
      <c r="E40" s="2">
        <v>2472</v>
      </c>
      <c r="F40" s="2">
        <v>2873</v>
      </c>
      <c r="G40" s="2">
        <v>2966</v>
      </c>
      <c r="H40" s="2">
        <v>3968</v>
      </c>
      <c r="I40" s="2">
        <v>4162</v>
      </c>
      <c r="J40" s="2">
        <v>4133</v>
      </c>
      <c r="K40" s="2">
        <v>4356</v>
      </c>
      <c r="L40" s="2">
        <v>5266</v>
      </c>
      <c r="M40" s="2">
        <v>4933</v>
      </c>
      <c r="N40" s="2">
        <v>5598</v>
      </c>
      <c r="O40" s="2">
        <v>4271</v>
      </c>
      <c r="P40" s="2">
        <f>+O40/$O$3*12</f>
        <v>5694.666666666666</v>
      </c>
      <c r="Q40" s="2">
        <v>4320</v>
      </c>
      <c r="R40" s="2">
        <v>4320</v>
      </c>
      <c r="S40" s="2">
        <v>4320</v>
      </c>
      <c r="T40" s="2">
        <v>4320</v>
      </c>
      <c r="U40" s="89">
        <f aca="true" t="shared" si="0" ref="U40:U47">(T40-Q40)/Q40</f>
        <v>0</v>
      </c>
    </row>
    <row r="41" spans="1:21" ht="12.75" hidden="1">
      <c r="A41" t="s">
        <v>165</v>
      </c>
      <c r="B41" s="4">
        <v>52.33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89"/>
    </row>
    <row r="42" spans="1:22" ht="12.75">
      <c r="A42" t="s">
        <v>144</v>
      </c>
      <c r="B42" s="4">
        <v>52.321</v>
      </c>
      <c r="C42" s="2">
        <v>6782</v>
      </c>
      <c r="D42" s="2">
        <v>3482</v>
      </c>
      <c r="E42" s="2">
        <v>4059</v>
      </c>
      <c r="F42" s="2">
        <v>10359</v>
      </c>
      <c r="G42" s="2">
        <v>3800</v>
      </c>
      <c r="H42" s="2">
        <v>4018</v>
      </c>
      <c r="I42" s="2">
        <v>7544</v>
      </c>
      <c r="J42" s="2">
        <v>2315</v>
      </c>
      <c r="K42" s="2">
        <f>3440+772</f>
        <v>4212</v>
      </c>
      <c r="L42" s="2">
        <v>6933</v>
      </c>
      <c r="M42" s="2">
        <v>7089</v>
      </c>
      <c r="N42" s="2">
        <v>17068</v>
      </c>
      <c r="O42" s="2">
        <v>1021</v>
      </c>
      <c r="P42" s="2">
        <v>17500</v>
      </c>
      <c r="Q42" s="2">
        <v>17235</v>
      </c>
      <c r="R42" s="2">
        <v>36620</v>
      </c>
      <c r="S42" s="2">
        <v>17500</v>
      </c>
      <c r="T42" s="2">
        <v>17500</v>
      </c>
      <c r="U42" s="89">
        <f t="shared" si="0"/>
        <v>0.015375689004931825</v>
      </c>
      <c r="V42" s="33" t="s">
        <v>511</v>
      </c>
    </row>
    <row r="43" spans="1:22" ht="12.75">
      <c r="A43" t="s">
        <v>165</v>
      </c>
      <c r="B43" s="4">
        <v>52.33</v>
      </c>
      <c r="C43" s="2"/>
      <c r="D43" s="2">
        <v>685</v>
      </c>
      <c r="E43" s="2">
        <v>157</v>
      </c>
      <c r="F43" s="2"/>
      <c r="G43" s="2"/>
      <c r="H43" s="2">
        <v>144</v>
      </c>
      <c r="I43" s="2"/>
      <c r="J43" s="2"/>
      <c r="K43" s="2"/>
      <c r="L43" s="2"/>
      <c r="M43" s="2"/>
      <c r="N43" s="2">
        <v>450</v>
      </c>
      <c r="O43" s="2"/>
      <c r="P43" s="2">
        <f>+O43/$O$3*12</f>
        <v>0</v>
      </c>
      <c r="Q43" s="2"/>
      <c r="R43" s="2">
        <v>2000</v>
      </c>
      <c r="S43" s="2"/>
      <c r="T43" s="2"/>
      <c r="U43" s="89" t="e">
        <f t="shared" si="0"/>
        <v>#DIV/0!</v>
      </c>
      <c r="V43" s="33" t="s">
        <v>511</v>
      </c>
    </row>
    <row r="44" spans="1:22" ht="12.75">
      <c r="A44" t="s">
        <v>156</v>
      </c>
      <c r="B44" s="4">
        <v>52.35</v>
      </c>
      <c r="C44" s="2">
        <v>2769</v>
      </c>
      <c r="D44" s="2">
        <v>5458</v>
      </c>
      <c r="E44" s="2">
        <v>2466</v>
      </c>
      <c r="F44" s="2">
        <v>40</v>
      </c>
      <c r="G44" s="2"/>
      <c r="H44" s="2">
        <v>841</v>
      </c>
      <c r="I44" s="2">
        <v>1939</v>
      </c>
      <c r="J44" s="2">
        <v>2994</v>
      </c>
      <c r="K44" s="2">
        <v>2545</v>
      </c>
      <c r="L44" s="2">
        <v>7079</v>
      </c>
      <c r="M44" s="2">
        <v>4381</v>
      </c>
      <c r="N44" s="2">
        <v>2227</v>
      </c>
      <c r="O44" s="2">
        <v>1416</v>
      </c>
      <c r="P44" s="2">
        <v>3000</v>
      </c>
      <c r="Q44" s="2">
        <v>2000</v>
      </c>
      <c r="R44" s="2">
        <v>4500</v>
      </c>
      <c r="S44" s="2">
        <v>2500</v>
      </c>
      <c r="T44" s="2">
        <v>2500</v>
      </c>
      <c r="U44" s="89">
        <f t="shared" si="0"/>
        <v>0.25</v>
      </c>
      <c r="V44" s="33" t="s">
        <v>511</v>
      </c>
    </row>
    <row r="45" spans="1:22" ht="12.75">
      <c r="A45" t="s">
        <v>187</v>
      </c>
      <c r="B45" s="4">
        <v>52.3501</v>
      </c>
      <c r="C45" s="2"/>
      <c r="D45" s="2"/>
      <c r="E45" s="2">
        <v>527</v>
      </c>
      <c r="F45" s="2">
        <v>3991</v>
      </c>
      <c r="G45" s="2">
        <v>3125</v>
      </c>
      <c r="H45" s="2">
        <v>2692</v>
      </c>
      <c r="I45" s="2">
        <v>2537</v>
      </c>
      <c r="J45" s="2"/>
      <c r="K45" s="2">
        <v>1477</v>
      </c>
      <c r="L45" s="2">
        <v>2383</v>
      </c>
      <c r="M45" s="2">
        <v>2029</v>
      </c>
      <c r="N45" s="2">
        <v>1865</v>
      </c>
      <c r="O45" s="2">
        <v>2077</v>
      </c>
      <c r="P45" s="2">
        <f>+O45/$O$3*12</f>
        <v>2769.333333333333</v>
      </c>
      <c r="Q45" s="2">
        <v>1920</v>
      </c>
      <c r="R45" s="2">
        <v>1920</v>
      </c>
      <c r="S45" s="2">
        <v>1920</v>
      </c>
      <c r="T45" s="2">
        <v>1920</v>
      </c>
      <c r="U45" s="89">
        <f t="shared" si="0"/>
        <v>0</v>
      </c>
      <c r="V45" s="33" t="s">
        <v>511</v>
      </c>
    </row>
    <row r="46" spans="1:22" ht="12.75">
      <c r="A46" t="s">
        <v>512</v>
      </c>
      <c r="B46" s="4">
        <v>52.37</v>
      </c>
      <c r="C46" s="2"/>
      <c r="D46" s="2"/>
      <c r="E46" s="2">
        <v>451</v>
      </c>
      <c r="F46" s="2">
        <v>610</v>
      </c>
      <c r="G46" s="2"/>
      <c r="H46" s="2">
        <v>1015</v>
      </c>
      <c r="I46" s="2"/>
      <c r="J46" s="2">
        <v>570</v>
      </c>
      <c r="K46" s="2">
        <v>2535</v>
      </c>
      <c r="L46" s="2">
        <v>1790</v>
      </c>
      <c r="M46" s="2">
        <v>885</v>
      </c>
      <c r="N46" s="2">
        <v>950</v>
      </c>
      <c r="O46" s="2">
        <v>210</v>
      </c>
      <c r="P46" s="2">
        <v>1000</v>
      </c>
      <c r="Q46" s="20">
        <v>250</v>
      </c>
      <c r="R46" s="2">
        <v>1000</v>
      </c>
      <c r="S46" s="20">
        <v>1000</v>
      </c>
      <c r="T46" s="20">
        <v>1000</v>
      </c>
      <c r="U46" s="89">
        <f t="shared" si="0"/>
        <v>3</v>
      </c>
      <c r="V46" s="33" t="s">
        <v>511</v>
      </c>
    </row>
    <row r="47" spans="1:22" ht="12.75">
      <c r="A47" t="s">
        <v>188</v>
      </c>
      <c r="B47" s="4">
        <v>52.3701</v>
      </c>
      <c r="C47" s="2"/>
      <c r="D47" s="2"/>
      <c r="E47" s="2">
        <v>850</v>
      </c>
      <c r="F47" s="2">
        <v>1590</v>
      </c>
      <c r="G47" s="2">
        <v>1050</v>
      </c>
      <c r="H47" s="2">
        <v>1420</v>
      </c>
      <c r="I47" s="2"/>
      <c r="J47" s="2">
        <v>215</v>
      </c>
      <c r="K47" s="2">
        <v>920</v>
      </c>
      <c r="L47" s="2">
        <v>795</v>
      </c>
      <c r="M47" s="2">
        <v>1175</v>
      </c>
      <c r="N47" s="2">
        <v>120</v>
      </c>
      <c r="O47" s="2">
        <v>958</v>
      </c>
      <c r="P47" s="2">
        <f>+O47/$O$3*12</f>
        <v>1277.3333333333333</v>
      </c>
      <c r="Q47" s="2">
        <v>1330</v>
      </c>
      <c r="R47" s="2">
        <v>1330</v>
      </c>
      <c r="S47" s="2">
        <v>1330</v>
      </c>
      <c r="T47" s="2">
        <v>1330</v>
      </c>
      <c r="U47" s="89">
        <f t="shared" si="0"/>
        <v>0</v>
      </c>
      <c r="V47" s="33" t="s">
        <v>511</v>
      </c>
    </row>
    <row r="48" spans="1:21" ht="12.75" hidden="1">
      <c r="A48" t="s">
        <v>741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9"/>
    </row>
    <row r="49" spans="1:21" ht="12.75" hidden="1">
      <c r="A49" t="s">
        <v>742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89"/>
    </row>
    <row r="50" spans="1:21" ht="12.75">
      <c r="A50" t="s">
        <v>99</v>
      </c>
      <c r="B50" s="4">
        <v>52.3704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8551</v>
      </c>
      <c r="N50" s="2"/>
      <c r="O50" s="2"/>
      <c r="P50" s="2"/>
      <c r="Q50" s="2"/>
      <c r="R50" s="2"/>
      <c r="S50" s="2"/>
      <c r="T50" s="2"/>
      <c r="U50" s="89"/>
    </row>
    <row r="51" spans="1:21" ht="12.75">
      <c r="A51" t="s">
        <v>739</v>
      </c>
      <c r="B51" s="4">
        <v>52.1209</v>
      </c>
      <c r="C51" s="2"/>
      <c r="D51" s="2"/>
      <c r="E51" s="2"/>
      <c r="F51" s="2"/>
      <c r="G51" s="2"/>
      <c r="H51" s="2"/>
      <c r="I51" s="2"/>
      <c r="J51" s="2"/>
      <c r="K51" s="2"/>
      <c r="L51" s="2">
        <v>6000</v>
      </c>
      <c r="M51" s="2">
        <v>452565</v>
      </c>
      <c r="N51" s="2">
        <v>454548</v>
      </c>
      <c r="O51" s="2"/>
      <c r="P51" s="2"/>
      <c r="Q51" s="2"/>
      <c r="R51" s="2"/>
      <c r="S51" s="2"/>
      <c r="T51" s="2"/>
      <c r="U51" s="89"/>
    </row>
    <row r="52" spans="1:22" ht="12.75">
      <c r="A52" t="s">
        <v>43</v>
      </c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250000</v>
      </c>
      <c r="S52" s="2">
        <v>100000</v>
      </c>
      <c r="T52" s="2"/>
      <c r="U52" s="89"/>
      <c r="V52" s="33" t="s">
        <v>1058</v>
      </c>
    </row>
    <row r="53" spans="1:21" ht="12.75">
      <c r="A53" t="s">
        <v>764</v>
      </c>
      <c r="B53" s="4">
        <v>53.14</v>
      </c>
      <c r="C53" s="2"/>
      <c r="D53" s="2"/>
      <c r="E53" s="2"/>
      <c r="F53" s="2"/>
      <c r="G53" s="2"/>
      <c r="H53" s="2"/>
      <c r="I53" s="2"/>
      <c r="J53" s="2"/>
      <c r="K53" s="2">
        <v>870</v>
      </c>
      <c r="L53" s="2">
        <f>1033+225</f>
        <v>1258</v>
      </c>
      <c r="M53" s="2">
        <v>966</v>
      </c>
      <c r="N53" s="2">
        <v>500</v>
      </c>
      <c r="O53" s="2">
        <v>658</v>
      </c>
      <c r="P53" s="2">
        <v>500</v>
      </c>
      <c r="Q53" s="2">
        <v>1000</v>
      </c>
      <c r="R53" s="2">
        <v>1500</v>
      </c>
      <c r="S53" s="2">
        <v>1000</v>
      </c>
      <c r="T53" s="2">
        <v>1000</v>
      </c>
      <c r="U53" s="89"/>
    </row>
    <row r="54" spans="1:21" ht="12.75">
      <c r="A54" t="s">
        <v>151</v>
      </c>
      <c r="B54" s="4">
        <v>53.171</v>
      </c>
      <c r="C54" s="2">
        <v>7150</v>
      </c>
      <c r="D54" s="2">
        <v>7650</v>
      </c>
      <c r="E54" s="2">
        <v>10750</v>
      </c>
      <c r="F54" s="2">
        <v>9807</v>
      </c>
      <c r="G54" s="2">
        <v>7981</v>
      </c>
      <c r="H54" s="2">
        <v>6359</v>
      </c>
      <c r="I54" s="2">
        <f>7985+754</f>
        <v>8739</v>
      </c>
      <c r="J54" s="2"/>
      <c r="K54" s="2">
        <f>8531+218</f>
        <v>8749</v>
      </c>
      <c r="L54" s="2">
        <v>4828</v>
      </c>
      <c r="M54" s="2">
        <v>5423</v>
      </c>
      <c r="N54" s="2">
        <v>7738</v>
      </c>
      <c r="O54" s="2">
        <v>2105</v>
      </c>
      <c r="P54" s="2">
        <f aca="true" t="shared" si="1" ref="P54:P62">+O54/$O$3*12</f>
        <v>2806.6666666666665</v>
      </c>
      <c r="Q54" s="2">
        <v>7000</v>
      </c>
      <c r="R54" s="2">
        <v>7000</v>
      </c>
      <c r="S54" s="2">
        <v>5000</v>
      </c>
      <c r="T54" s="2">
        <v>5000</v>
      </c>
      <c r="U54" s="89">
        <f aca="true" t="shared" si="2" ref="U54:U61">(T54-Q54)/Q54</f>
        <v>-0.2857142857142857</v>
      </c>
    </row>
    <row r="55" spans="1:21" ht="12.75">
      <c r="A55" t="s">
        <v>789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>
        <v>72</v>
      </c>
      <c r="M55" s="2"/>
      <c r="N55" s="2"/>
      <c r="O55" s="2"/>
      <c r="P55" s="2"/>
      <c r="Q55" s="2">
        <v>0</v>
      </c>
      <c r="R55" s="2"/>
      <c r="S55" s="2"/>
      <c r="T55" s="2"/>
      <c r="U55" s="89"/>
    </row>
    <row r="56" spans="1:21" ht="12.75">
      <c r="A56" t="s">
        <v>104</v>
      </c>
      <c r="B56" s="4">
        <v>53.1737</v>
      </c>
      <c r="C56" s="2"/>
      <c r="D56" s="2"/>
      <c r="E56" s="2"/>
      <c r="F56" s="2"/>
      <c r="G56" s="2"/>
      <c r="H56" s="2"/>
      <c r="I56" s="2"/>
      <c r="J56" s="2"/>
      <c r="K56" s="2"/>
      <c r="L56" s="2">
        <v>376</v>
      </c>
      <c r="M56" s="2"/>
      <c r="N56" s="2"/>
      <c r="O56" s="2"/>
      <c r="P56" s="2"/>
      <c r="Q56" s="2"/>
      <c r="R56" s="2"/>
      <c r="S56" s="2"/>
      <c r="T56" s="2"/>
      <c r="U56" s="89"/>
    </row>
    <row r="57" spans="1:21" ht="12.75">
      <c r="A57" t="s">
        <v>189</v>
      </c>
      <c r="B57" s="4">
        <v>53.175</v>
      </c>
      <c r="C57" s="2">
        <v>1924</v>
      </c>
      <c r="D57" s="2">
        <v>173</v>
      </c>
      <c r="E57" s="2">
        <v>619</v>
      </c>
      <c r="F57" s="2">
        <v>917</v>
      </c>
      <c r="G57" s="2">
        <v>236</v>
      </c>
      <c r="H57" s="2">
        <v>123</v>
      </c>
      <c r="I57" s="2">
        <v>562</v>
      </c>
      <c r="J57" s="2">
        <v>565</v>
      </c>
      <c r="K57" s="2">
        <v>54</v>
      </c>
      <c r="L57" s="2">
        <v>330</v>
      </c>
      <c r="M57" s="2">
        <v>15</v>
      </c>
      <c r="N57" s="2">
        <v>38</v>
      </c>
      <c r="O57" s="2">
        <v>187</v>
      </c>
      <c r="P57" s="2">
        <f t="shared" si="1"/>
        <v>249.33333333333334</v>
      </c>
      <c r="Q57" s="2">
        <v>130</v>
      </c>
      <c r="R57" s="2">
        <v>130</v>
      </c>
      <c r="S57" s="2">
        <v>130</v>
      </c>
      <c r="T57" s="2">
        <v>130</v>
      </c>
      <c r="U57" s="89">
        <f t="shared" si="2"/>
        <v>0</v>
      </c>
    </row>
    <row r="58" spans="1:21" ht="12.75">
      <c r="A58" t="s">
        <v>190</v>
      </c>
      <c r="B58" s="4">
        <v>53.176</v>
      </c>
      <c r="C58" s="2">
        <v>45</v>
      </c>
      <c r="D58" s="2">
        <v>22</v>
      </c>
      <c r="E58" s="2">
        <v>35</v>
      </c>
      <c r="F58" s="2">
        <v>101</v>
      </c>
      <c r="G58" s="2">
        <v>17</v>
      </c>
      <c r="H58" s="2">
        <v>23</v>
      </c>
      <c r="I58" s="2">
        <v>27</v>
      </c>
      <c r="J58" s="2">
        <v>22</v>
      </c>
      <c r="K58" s="2">
        <v>5</v>
      </c>
      <c r="L58" s="2">
        <v>75</v>
      </c>
      <c r="M58" s="2">
        <v>22</v>
      </c>
      <c r="N58" s="2"/>
      <c r="O58" s="2">
        <v>17</v>
      </c>
      <c r="P58" s="2">
        <f t="shared" si="1"/>
        <v>22.666666666666664</v>
      </c>
      <c r="Q58" s="2">
        <v>30</v>
      </c>
      <c r="R58" s="2">
        <v>30</v>
      </c>
      <c r="S58" s="2">
        <v>30</v>
      </c>
      <c r="T58" s="2">
        <v>30</v>
      </c>
      <c r="U58" s="89">
        <f t="shared" si="2"/>
        <v>0</v>
      </c>
    </row>
    <row r="59" spans="1:21" ht="12.75">
      <c r="A59" t="s">
        <v>191</v>
      </c>
      <c r="B59" s="4">
        <v>53.177</v>
      </c>
      <c r="C59" s="2">
        <v>1</v>
      </c>
      <c r="D59" s="2">
        <v>45</v>
      </c>
      <c r="E59" s="2">
        <v>89</v>
      </c>
      <c r="F59" s="2">
        <v>328</v>
      </c>
      <c r="G59" s="2">
        <v>196</v>
      </c>
      <c r="H59" s="2"/>
      <c r="I59" s="2"/>
      <c r="J59" s="2"/>
      <c r="K59" s="2"/>
      <c r="L59" s="2"/>
      <c r="M59" s="2">
        <v>72</v>
      </c>
      <c r="N59" s="2"/>
      <c r="O59" s="2"/>
      <c r="P59" s="2">
        <f t="shared" si="1"/>
        <v>0</v>
      </c>
      <c r="Q59" s="2"/>
      <c r="R59" s="2">
        <v>200</v>
      </c>
      <c r="S59" s="2">
        <v>200</v>
      </c>
      <c r="T59" s="2">
        <v>200</v>
      </c>
      <c r="U59" s="89" t="e">
        <f t="shared" si="2"/>
        <v>#DIV/0!</v>
      </c>
    </row>
    <row r="60" spans="1:21" ht="12.75">
      <c r="A60" t="s">
        <v>192</v>
      </c>
      <c r="B60" s="4">
        <v>53.178</v>
      </c>
      <c r="C60" s="2"/>
      <c r="D60" s="2"/>
      <c r="E60" s="2">
        <v>82</v>
      </c>
      <c r="F60" s="2">
        <v>153</v>
      </c>
      <c r="G60" s="2">
        <v>63</v>
      </c>
      <c r="H60" s="2">
        <v>63</v>
      </c>
      <c r="I60" s="2"/>
      <c r="J60" s="2"/>
      <c r="K60" s="2">
        <v>180</v>
      </c>
      <c r="L60" s="2"/>
      <c r="M60" s="2">
        <v>72</v>
      </c>
      <c r="N60" s="2"/>
      <c r="O60" s="2">
        <v>46</v>
      </c>
      <c r="P60" s="2">
        <f t="shared" si="1"/>
        <v>61.33333333333333</v>
      </c>
      <c r="Q60" s="2"/>
      <c r="R60" s="2">
        <v>200</v>
      </c>
      <c r="S60" s="2">
        <v>50</v>
      </c>
      <c r="T60" s="2">
        <v>50</v>
      </c>
      <c r="U60" s="89" t="e">
        <f t="shared" si="2"/>
        <v>#DIV/0!</v>
      </c>
    </row>
    <row r="61" spans="1:21" ht="12.75">
      <c r="A61" t="s">
        <v>180</v>
      </c>
      <c r="B61" s="4">
        <v>53.179</v>
      </c>
      <c r="C61" s="2">
        <v>356</v>
      </c>
      <c r="D61" s="2">
        <v>557</v>
      </c>
      <c r="E61" s="2">
        <v>481</v>
      </c>
      <c r="F61" s="2">
        <v>1172</v>
      </c>
      <c r="G61" s="2">
        <v>574</v>
      </c>
      <c r="H61" s="2">
        <v>253</v>
      </c>
      <c r="I61" s="2">
        <v>879</v>
      </c>
      <c r="J61" s="2">
        <v>364</v>
      </c>
      <c r="K61" s="2">
        <v>927</v>
      </c>
      <c r="L61" s="2">
        <v>1743</v>
      </c>
      <c r="M61" s="2">
        <v>327</v>
      </c>
      <c r="N61" s="2">
        <v>364</v>
      </c>
      <c r="O61" s="2">
        <v>761</v>
      </c>
      <c r="P61" s="2">
        <f t="shared" si="1"/>
        <v>1014.6666666666667</v>
      </c>
      <c r="Q61" s="2">
        <v>1500</v>
      </c>
      <c r="R61" s="2">
        <v>1500</v>
      </c>
      <c r="S61" s="2">
        <v>1500</v>
      </c>
      <c r="T61" s="2">
        <v>1500</v>
      </c>
      <c r="U61" s="89">
        <f t="shared" si="2"/>
        <v>0</v>
      </c>
    </row>
    <row r="62" spans="1:21" ht="10.5" customHeight="1">
      <c r="A62" t="s">
        <v>959</v>
      </c>
      <c r="B62" s="4">
        <v>52.3408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f t="shared" si="1"/>
        <v>0</v>
      </c>
      <c r="Q62" s="2"/>
      <c r="R62" s="2"/>
      <c r="S62" s="2"/>
      <c r="T62" s="2"/>
      <c r="U62" s="89"/>
    </row>
    <row r="63" spans="1:21" ht="12.75">
      <c r="A63" t="s">
        <v>385</v>
      </c>
      <c r="B63" s="4">
        <v>54.13</v>
      </c>
      <c r="C63" s="2"/>
      <c r="D63" s="2"/>
      <c r="E63" s="2">
        <v>325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89"/>
    </row>
    <row r="64" spans="1:21" ht="12.75">
      <c r="A64" t="s">
        <v>740</v>
      </c>
      <c r="B64" s="4"/>
      <c r="C64" s="2"/>
      <c r="D64" s="2"/>
      <c r="E64" s="2"/>
      <c r="F64" s="2"/>
      <c r="G64" s="2"/>
      <c r="H64" s="2"/>
      <c r="I64" s="2"/>
      <c r="J64" s="2"/>
      <c r="K64" s="2"/>
      <c r="L64" s="2">
        <v>64420</v>
      </c>
      <c r="M64" s="2"/>
      <c r="N64" s="2"/>
      <c r="O64" s="2"/>
      <c r="P64" s="2"/>
      <c r="Q64" s="2"/>
      <c r="R64" s="2"/>
      <c r="S64" s="2"/>
      <c r="T64" s="2"/>
      <c r="U64" s="89"/>
    </row>
    <row r="65" spans="1:22" ht="12.75" hidden="1">
      <c r="A65" t="s">
        <v>369</v>
      </c>
      <c r="B65" s="4">
        <v>54.22</v>
      </c>
      <c r="C65" s="2"/>
      <c r="D65" s="2"/>
      <c r="F65" s="2">
        <v>1800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9"/>
      <c r="V65" s="2"/>
    </row>
    <row r="66" spans="1:22" ht="12.75">
      <c r="A66" t="s">
        <v>969</v>
      </c>
      <c r="B66" s="4"/>
      <c r="C66" s="2"/>
      <c r="D66" s="2"/>
      <c r="F66" s="2"/>
      <c r="G66" s="2"/>
      <c r="H66" s="2"/>
      <c r="I66" s="2"/>
      <c r="J66" s="2"/>
      <c r="K66" s="2"/>
      <c r="L66" s="2"/>
      <c r="M66" s="2"/>
      <c r="N66" s="2">
        <v>79540</v>
      </c>
      <c r="O66" s="2"/>
      <c r="P66" s="2"/>
      <c r="Q66" s="2"/>
      <c r="R66" s="2"/>
      <c r="S66" s="2"/>
      <c r="T66" s="2"/>
      <c r="U66" s="89"/>
      <c r="V66" s="2"/>
    </row>
    <row r="67" spans="1:22" ht="12.75">
      <c r="A67" t="s">
        <v>105</v>
      </c>
      <c r="B67" s="4"/>
      <c r="C67" s="2"/>
      <c r="D67" s="2"/>
      <c r="F67" s="2"/>
      <c r="G67" s="2"/>
      <c r="H67" s="2"/>
      <c r="I67" s="2"/>
      <c r="J67" s="2"/>
      <c r="K67" s="2"/>
      <c r="L67" s="2"/>
      <c r="M67" s="2">
        <v>6020</v>
      </c>
      <c r="N67" s="2"/>
      <c r="O67" s="2"/>
      <c r="P67" s="2"/>
      <c r="Q67" s="2"/>
      <c r="R67" s="2"/>
      <c r="S67" s="2"/>
      <c r="T67" s="2"/>
      <c r="U67" s="89"/>
      <c r="V67" s="6"/>
    </row>
    <row r="68" spans="1:22" ht="12.75">
      <c r="A68" t="s">
        <v>229</v>
      </c>
      <c r="B68" s="4">
        <v>54.24</v>
      </c>
      <c r="F68" s="2">
        <v>2520</v>
      </c>
      <c r="G68" s="2"/>
      <c r="H68" s="2">
        <v>3022</v>
      </c>
      <c r="I68" s="2">
        <v>2052</v>
      </c>
      <c r="J68" s="2"/>
      <c r="K68" s="2"/>
      <c r="L68" s="2">
        <v>10443</v>
      </c>
      <c r="M68" s="2">
        <v>1791</v>
      </c>
      <c r="N68" s="2"/>
      <c r="O68" s="2"/>
      <c r="P68" s="2"/>
      <c r="Q68" s="2"/>
      <c r="R68" s="2">
        <v>4000</v>
      </c>
      <c r="S68" s="2"/>
      <c r="T68" s="2"/>
      <c r="U68" s="89"/>
      <c r="V68" t="s">
        <v>511</v>
      </c>
    </row>
    <row r="69" spans="1:21" ht="12.75" hidden="1">
      <c r="A69" t="s">
        <v>105</v>
      </c>
      <c r="B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9"/>
    </row>
    <row r="70" spans="1:21" ht="12.75">
      <c r="A70" t="s">
        <v>97</v>
      </c>
      <c r="B70" s="4"/>
      <c r="F70" s="2"/>
      <c r="G70" s="2"/>
      <c r="H70" s="2"/>
      <c r="I70" s="2"/>
      <c r="J70" s="2"/>
      <c r="K70" s="2"/>
      <c r="L70" s="2"/>
      <c r="M70" s="2">
        <v>2619</v>
      </c>
      <c r="N70" s="2"/>
      <c r="O70" s="2"/>
      <c r="P70" s="2"/>
      <c r="Q70" s="2"/>
      <c r="R70" s="2"/>
      <c r="S70" s="2"/>
      <c r="T70" s="2"/>
      <c r="U70" s="89"/>
    </row>
    <row r="71" spans="1:22" ht="12.75">
      <c r="A71" t="s">
        <v>193</v>
      </c>
      <c r="B71" s="4">
        <v>54.25</v>
      </c>
      <c r="C71" s="2"/>
      <c r="D71" s="2"/>
      <c r="E71" s="2">
        <v>4378</v>
      </c>
      <c r="F71" s="2">
        <v>6902</v>
      </c>
      <c r="G71" s="2"/>
      <c r="H71" s="2">
        <v>30530</v>
      </c>
      <c r="I71" s="2">
        <v>9000</v>
      </c>
      <c r="J71" s="2">
        <v>12735</v>
      </c>
      <c r="K71" s="2"/>
      <c r="L71" s="2"/>
      <c r="M71" s="2"/>
      <c r="N71" s="2"/>
      <c r="O71" s="2"/>
      <c r="P71" s="2"/>
      <c r="Q71" s="2">
        <v>0</v>
      </c>
      <c r="R71" s="2">
        <v>2000</v>
      </c>
      <c r="S71" s="2"/>
      <c r="T71" s="2"/>
      <c r="U71" s="89"/>
      <c r="V71" t="s">
        <v>579</v>
      </c>
    </row>
    <row r="72" spans="1:22" ht="12.75" hidden="1">
      <c r="A72" t="s">
        <v>193</v>
      </c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51"/>
      <c r="V72" s="2"/>
    </row>
    <row r="73" spans="1:21" ht="12.75">
      <c r="A73" t="s">
        <v>790</v>
      </c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51"/>
    </row>
    <row r="74" spans="1:21" ht="12.75" hidden="1">
      <c r="A74" t="s">
        <v>194</v>
      </c>
      <c r="B74" s="4">
        <v>58.12</v>
      </c>
      <c r="C74" s="2">
        <v>1318</v>
      </c>
      <c r="D74" s="2">
        <v>24558</v>
      </c>
      <c r="E74" s="2">
        <v>11011</v>
      </c>
      <c r="F74" s="2">
        <v>8541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51"/>
    </row>
    <row r="76" spans="1:21" ht="12.75">
      <c r="A76" s="6" t="s">
        <v>119</v>
      </c>
      <c r="B76" s="6"/>
      <c r="C76" s="7">
        <f aca="true" t="shared" si="3" ref="C76:I76">SUM(C7:C75)</f>
        <v>157620</v>
      </c>
      <c r="D76" s="8">
        <f t="shared" si="3"/>
        <v>221707</v>
      </c>
      <c r="E76" s="8">
        <f t="shared" si="3"/>
        <v>233454</v>
      </c>
      <c r="F76" s="8">
        <f t="shared" si="3"/>
        <v>278053</v>
      </c>
      <c r="G76" s="8">
        <f t="shared" si="3"/>
        <v>229493</v>
      </c>
      <c r="H76" s="8">
        <f t="shared" si="3"/>
        <v>229805</v>
      </c>
      <c r="I76" s="8">
        <f t="shared" si="3"/>
        <v>258872</v>
      </c>
      <c r="J76" s="8">
        <v>249921</v>
      </c>
      <c r="K76" s="8">
        <f>SUM(K7:K75)</f>
        <v>263070</v>
      </c>
      <c r="L76" s="8">
        <v>420252</v>
      </c>
      <c r="M76" s="8">
        <v>894791</v>
      </c>
      <c r="N76" s="8">
        <v>919719</v>
      </c>
      <c r="O76" s="8">
        <f aca="true" t="shared" si="4" ref="O76:T76">SUM(O7:O75)</f>
        <v>298722</v>
      </c>
      <c r="P76" s="8">
        <f>SUM(P7:P75)</f>
        <v>421619.93799999997</v>
      </c>
      <c r="Q76" s="8">
        <f t="shared" si="4"/>
        <v>396207.12051</v>
      </c>
      <c r="R76" s="8">
        <f t="shared" si="4"/>
        <v>699985.4730199999</v>
      </c>
      <c r="S76" s="8">
        <f t="shared" si="4"/>
        <v>452244.22302</v>
      </c>
      <c r="T76" s="8">
        <f t="shared" si="4"/>
        <v>352244.22302</v>
      </c>
      <c r="U76" s="52">
        <f>(T76-Q76)/Q76</f>
        <v>-0.11095938264161108</v>
      </c>
    </row>
    <row r="78" spans="17:19" ht="12.75">
      <c r="Q78" s="22" t="s">
        <v>484</v>
      </c>
      <c r="R78" s="22"/>
      <c r="S78" s="55">
        <f>R76-S76</f>
        <v>247741.24999999994</v>
      </c>
    </row>
    <row r="79" spans="10:19" ht="12.75">
      <c r="J79" s="2">
        <f>L68+L64</f>
        <v>74863</v>
      </c>
      <c r="Q79" s="22" t="s">
        <v>725</v>
      </c>
      <c r="R79" s="22"/>
      <c r="S79" s="55">
        <f>Q76-S76</f>
        <v>-56037.10251</v>
      </c>
    </row>
    <row r="80" spans="17:19" ht="12.75">
      <c r="Q80" s="22" t="s">
        <v>432</v>
      </c>
      <c r="R80" s="22"/>
      <c r="S80" s="55">
        <f>S76-T76</f>
        <v>100000</v>
      </c>
    </row>
    <row r="81" spans="1:19" ht="12.75">
      <c r="A81" s="22" t="s">
        <v>1053</v>
      </c>
      <c r="Q81" s="22"/>
      <c r="R81" s="22"/>
      <c r="S81" s="55"/>
    </row>
    <row r="82" spans="1:19" ht="12.75">
      <c r="A82" t="s">
        <v>1054</v>
      </c>
      <c r="Q82" s="22"/>
      <c r="R82" s="22"/>
      <c r="S82" s="55"/>
    </row>
    <row r="83" ht="12.75">
      <c r="A83" s="33" t="s">
        <v>1059</v>
      </c>
    </row>
    <row r="84" ht="12.75">
      <c r="A84" s="33" t="s">
        <v>1057</v>
      </c>
    </row>
    <row r="85" ht="12.75">
      <c r="A85" s="33" t="s">
        <v>1082</v>
      </c>
    </row>
    <row r="86" ht="12.75">
      <c r="A86" s="33" t="s">
        <v>1069</v>
      </c>
    </row>
    <row r="101" ht="12.75">
      <c r="U101" s="2"/>
    </row>
    <row r="102" ht="12.75">
      <c r="U102" s="2"/>
    </row>
    <row r="103" ht="12.75">
      <c r="U103" s="2"/>
    </row>
    <row r="104" ht="12.75">
      <c r="U104" s="2"/>
    </row>
    <row r="105" ht="12.75">
      <c r="U105" s="2"/>
    </row>
    <row r="106" ht="12.75">
      <c r="U106" s="2"/>
    </row>
  </sheetData>
  <sheetProtection/>
  <printOptions gridLines="1"/>
  <pageMargins left="0.25" right="0.25" top="1" bottom="0.55" header="0.5" footer="0.25"/>
  <pageSetup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82"/>
  <sheetViews>
    <sheetView zoomScale="75" zoomScaleNormal="75" workbookViewId="0" topLeftCell="A1">
      <selection activeCell="U37" sqref="U3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9" max="11" width="9.140625" style="0" hidden="1" customWidth="1"/>
    <col min="12" max="12" width="9.00390625" style="0" customWidth="1"/>
    <col min="16" max="16" width="9.7109375" style="0" bestFit="1" customWidth="1"/>
    <col min="17" max="17" width="12.140625" style="0" customWidth="1"/>
    <col min="18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440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654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139643</v>
      </c>
      <c r="N7" s="2">
        <v>154302</v>
      </c>
      <c r="O7" s="2">
        <f>35332-10360-19060</f>
        <v>5912</v>
      </c>
      <c r="P7" s="2">
        <v>5912</v>
      </c>
      <c r="Q7" s="20">
        <f>31283-10360-19060</f>
        <v>1863</v>
      </c>
      <c r="R7" s="20"/>
      <c r="S7" s="20"/>
      <c r="T7" s="20"/>
      <c r="U7" s="51">
        <f>(T7-Q7)/Q7</f>
        <v>-1</v>
      </c>
      <c r="V7" s="33" t="s">
        <v>372</v>
      </c>
    </row>
    <row r="8" spans="1:22" ht="12.75">
      <c r="A8" t="s">
        <v>496</v>
      </c>
      <c r="B8" s="4">
        <v>52.3112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>
        <v>142103</v>
      </c>
      <c r="O8" s="2"/>
      <c r="P8" s="2">
        <v>153000</v>
      </c>
      <c r="Q8" s="2">
        <v>138000</v>
      </c>
      <c r="R8" s="2">
        <v>153000</v>
      </c>
      <c r="S8" s="2">
        <v>153000</v>
      </c>
      <c r="T8" s="2">
        <v>153000</v>
      </c>
      <c r="U8" s="51">
        <v>0.22919549363085504</v>
      </c>
      <c r="V8" s="33" t="s">
        <v>14</v>
      </c>
    </row>
    <row r="9" spans="1:22" ht="12.75">
      <c r="A9" t="s">
        <v>818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/>
      <c r="O9" s="2"/>
      <c r="P9" s="2"/>
      <c r="Q9" s="184"/>
      <c r="R9" s="184"/>
      <c r="S9" s="184"/>
      <c r="T9" s="184"/>
      <c r="U9" s="51"/>
      <c r="V9" s="185"/>
    </row>
    <row r="10" spans="1:21" ht="12.75">
      <c r="A10" t="s">
        <v>819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"/>
      <c r="O10" s="2"/>
      <c r="P10" s="20"/>
      <c r="Q10" s="20"/>
      <c r="R10" s="20"/>
      <c r="S10" s="20"/>
      <c r="T10" s="20"/>
      <c r="U10" s="51"/>
    </row>
    <row r="11" spans="1:22" ht="12.75">
      <c r="A11" t="s">
        <v>803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5000</v>
      </c>
      <c r="O11" s="2">
        <v>17164</v>
      </c>
      <c r="P11" s="2">
        <v>20000</v>
      </c>
      <c r="Q11" s="2">
        <v>3000</v>
      </c>
      <c r="R11" s="2">
        <v>3000</v>
      </c>
      <c r="S11" s="2">
        <v>3000</v>
      </c>
      <c r="T11" s="2">
        <v>3000</v>
      </c>
      <c r="U11" s="51"/>
      <c r="V11" s="33" t="s">
        <v>1032</v>
      </c>
    </row>
    <row r="12" spans="1:21" ht="12.75">
      <c r="A12" t="s">
        <v>263</v>
      </c>
      <c r="B12" s="4">
        <v>53.171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504</v>
      </c>
      <c r="O12" s="2"/>
      <c r="P12" s="2"/>
      <c r="Q12" s="2"/>
      <c r="R12" s="2"/>
      <c r="S12" s="2"/>
      <c r="T12" s="2"/>
      <c r="U12" s="51"/>
    </row>
    <row r="13" spans="1:21" ht="12.75">
      <c r="A13" t="s">
        <v>941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831</v>
      </c>
      <c r="N13" s="2"/>
      <c r="O13" s="2"/>
      <c r="P13" s="2"/>
      <c r="Q13" s="2"/>
      <c r="R13" s="2"/>
      <c r="S13" s="2"/>
      <c r="T13" s="2"/>
      <c r="U13" s="51"/>
    </row>
    <row r="14" spans="1:21" ht="12.75">
      <c r="A14" t="s">
        <v>616</v>
      </c>
      <c r="B14" s="4"/>
      <c r="C14" s="2"/>
      <c r="D14" s="2"/>
      <c r="E14" s="2"/>
      <c r="F14" s="2"/>
      <c r="G14" s="2"/>
      <c r="H14" s="2"/>
      <c r="I14" s="2">
        <f>700+108851</f>
        <v>109551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1:21" ht="12.75">
      <c r="A15" t="s">
        <v>694</v>
      </c>
      <c r="B15" s="4"/>
      <c r="C15" s="2"/>
      <c r="D15" s="2"/>
      <c r="E15" s="2"/>
      <c r="F15" s="2"/>
      <c r="G15" s="2"/>
      <c r="H15" s="2"/>
      <c r="I15" s="2">
        <v>39377</v>
      </c>
      <c r="J15" s="2">
        <v>74723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51"/>
    </row>
    <row r="16" spans="1:21" ht="12.75">
      <c r="A16" t="s">
        <v>695</v>
      </c>
      <c r="B16" s="4"/>
      <c r="C16" s="2"/>
      <c r="D16" s="2"/>
      <c r="E16" s="2"/>
      <c r="F16" s="2"/>
      <c r="G16" s="2"/>
      <c r="H16" s="2"/>
      <c r="I16" s="2">
        <f>14817+200</f>
        <v>15017</v>
      </c>
      <c r="J16" s="2">
        <v>69338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51"/>
    </row>
    <row r="17" spans="1:21" ht="12.75">
      <c r="A17" t="s">
        <v>754</v>
      </c>
      <c r="B17" s="4"/>
      <c r="C17" s="2"/>
      <c r="D17" s="2"/>
      <c r="E17" s="2"/>
      <c r="F17" s="2"/>
      <c r="G17" s="2"/>
      <c r="H17" s="2"/>
      <c r="I17" s="2"/>
      <c r="J17" s="2">
        <v>1083</v>
      </c>
      <c r="K17" s="2">
        <v>14798</v>
      </c>
      <c r="L17" s="2"/>
      <c r="M17" s="2"/>
      <c r="N17" s="2"/>
      <c r="O17" s="2"/>
      <c r="P17" s="2"/>
      <c r="Q17" s="2"/>
      <c r="R17" s="2"/>
      <c r="S17" s="2"/>
      <c r="T17" s="2"/>
      <c r="U17" s="51"/>
    </row>
    <row r="18" spans="1:21" ht="12.75">
      <c r="A18" t="s">
        <v>755</v>
      </c>
      <c r="B18" s="4">
        <v>54.2204</v>
      </c>
      <c r="C18" s="2"/>
      <c r="D18" s="2"/>
      <c r="E18" s="2"/>
      <c r="F18" s="2"/>
      <c r="G18" s="2"/>
      <c r="H18" s="2"/>
      <c r="I18" s="2"/>
      <c r="J18" s="2">
        <v>11143</v>
      </c>
      <c r="K18" s="2"/>
      <c r="L18" s="2"/>
      <c r="M18" s="2"/>
      <c r="N18" s="2">
        <v>112508</v>
      </c>
      <c r="O18" s="2"/>
      <c r="P18" s="2"/>
      <c r="Q18" s="2"/>
      <c r="R18" s="2"/>
      <c r="S18" s="2"/>
      <c r="T18" s="2"/>
      <c r="U18" s="51"/>
    </row>
    <row r="19" spans="1:22" ht="12.75">
      <c r="A19" t="s">
        <v>73</v>
      </c>
      <c r="B19" s="4">
        <v>53.1752</v>
      </c>
      <c r="C19" s="2"/>
      <c r="D19" s="2"/>
      <c r="E19" s="2"/>
      <c r="F19" s="2"/>
      <c r="G19" s="2">
        <v>511</v>
      </c>
      <c r="H19" s="2">
        <v>3561</v>
      </c>
      <c r="I19" s="2">
        <v>2906</v>
      </c>
      <c r="J19" s="2">
        <v>1332</v>
      </c>
      <c r="K19" s="2">
        <v>6784</v>
      </c>
      <c r="L19" s="2">
        <f>16776+1250</f>
        <v>18026</v>
      </c>
      <c r="M19" s="2">
        <v>10838</v>
      </c>
      <c r="N19" s="2">
        <v>1625</v>
      </c>
      <c r="O19" s="2"/>
      <c r="P19" s="2"/>
      <c r="Q19" s="2"/>
      <c r="R19" s="2"/>
      <c r="S19" s="2"/>
      <c r="T19" s="2"/>
      <c r="U19" s="51"/>
      <c r="V19" s="33" t="s">
        <v>510</v>
      </c>
    </row>
    <row r="20" spans="1:21" ht="12.75">
      <c r="A20" t="s">
        <v>765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1"/>
    </row>
    <row r="21" spans="1:21" ht="12.75">
      <c r="A21" s="6" t="s">
        <v>119</v>
      </c>
      <c r="B21" s="6"/>
      <c r="C21" s="8">
        <f>SUM(C7:C8)</f>
        <v>171041</v>
      </c>
      <c r="D21" s="8">
        <f>SUM(D7:D8)</f>
        <v>176636</v>
      </c>
      <c r="E21" s="8">
        <f>SUM(E7:E19)</f>
        <v>203442</v>
      </c>
      <c r="F21" s="8">
        <f>SUM(F7:F19)</f>
        <v>215708</v>
      </c>
      <c r="G21" s="8">
        <f>SUM(G7:G19)</f>
        <v>265713</v>
      </c>
      <c r="H21" s="8">
        <f>SUM(H7:H19)</f>
        <v>276152</v>
      </c>
      <c r="I21" s="8">
        <f>SUM(I7:I19)</f>
        <v>444245</v>
      </c>
      <c r="J21" s="8">
        <v>435633</v>
      </c>
      <c r="K21" s="8">
        <f aca="true" t="shared" si="0" ref="K21:T21">SUM(K7:K20)</f>
        <v>346273</v>
      </c>
      <c r="L21" s="8">
        <v>309495</v>
      </c>
      <c r="M21" s="8">
        <v>416431</v>
      </c>
      <c r="N21" s="8">
        <v>416042</v>
      </c>
      <c r="O21" s="8">
        <f t="shared" si="0"/>
        <v>23076</v>
      </c>
      <c r="P21" s="8">
        <f t="shared" si="0"/>
        <v>178912</v>
      </c>
      <c r="Q21" s="8">
        <f t="shared" si="0"/>
        <v>142863</v>
      </c>
      <c r="R21" s="8">
        <f t="shared" si="0"/>
        <v>156000</v>
      </c>
      <c r="S21" s="8">
        <f t="shared" si="0"/>
        <v>156000</v>
      </c>
      <c r="T21" s="8">
        <f t="shared" si="0"/>
        <v>156000</v>
      </c>
      <c r="U21" s="52">
        <f>(T21-Q21)/Q21</f>
        <v>0.09195522983557675</v>
      </c>
    </row>
    <row r="22" spans="3:2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51"/>
    </row>
    <row r="23" spans="3:2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  <c r="P23" s="2"/>
      <c r="Q23" s="22" t="s">
        <v>484</v>
      </c>
      <c r="R23" s="22"/>
      <c r="S23" s="55">
        <f>R21-S21</f>
        <v>0</v>
      </c>
      <c r="T23" s="2"/>
      <c r="U23" s="51"/>
    </row>
    <row r="24" spans="17:21" ht="12.75">
      <c r="Q24" s="22" t="s">
        <v>725</v>
      </c>
      <c r="R24" s="22"/>
      <c r="S24" s="55">
        <f>Q21-S21</f>
        <v>-13137</v>
      </c>
      <c r="U24" s="51"/>
    </row>
    <row r="25" spans="17:21" ht="12.75">
      <c r="Q25" s="22" t="s">
        <v>432</v>
      </c>
      <c r="R25" s="22"/>
      <c r="S25" s="55">
        <f>S21-T21</f>
        <v>0</v>
      </c>
      <c r="U25" s="51"/>
    </row>
    <row r="26" spans="17:21" ht="12.75">
      <c r="Q26" s="22"/>
      <c r="R26" s="22"/>
      <c r="S26" s="55"/>
      <c r="U26" s="51"/>
    </row>
    <row r="27" spans="1:21" ht="12.75">
      <c r="A27" s="33" t="s">
        <v>1025</v>
      </c>
      <c r="U27" s="51"/>
    </row>
    <row r="28" spans="1:21" ht="12.75">
      <c r="A28" s="33" t="s">
        <v>1073</v>
      </c>
      <c r="U28" s="51"/>
    </row>
    <row r="29" spans="1:21" ht="12.75">
      <c r="A29" t="s">
        <v>1072</v>
      </c>
      <c r="U29" s="51"/>
    </row>
    <row r="30" spans="1:21" ht="12.75">
      <c r="A30" s="6"/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77" ht="12.75">
      <c r="U77" s="2"/>
    </row>
    <row r="78" ht="12.75">
      <c r="U78" s="2"/>
    </row>
    <row r="79" ht="12.75">
      <c r="U79" s="2"/>
    </row>
    <row r="80" ht="12.75">
      <c r="U80" s="2"/>
    </row>
    <row r="81" ht="12.75">
      <c r="U81" s="2"/>
    </row>
    <row r="82" ht="12.75">
      <c r="U82" s="2"/>
    </row>
  </sheetData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W78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421875" style="0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665</v>
      </c>
      <c r="O3" s="56">
        <v>8</v>
      </c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2:21" ht="12.75">
      <c r="B5" s="58"/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441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1" ht="12.75">
      <c r="A7" t="s">
        <v>338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39122</v>
      </c>
      <c r="N7" s="2">
        <v>38225</v>
      </c>
      <c r="O7" s="2">
        <v>40571</v>
      </c>
      <c r="P7" s="2">
        <v>40571</v>
      </c>
      <c r="Q7" s="2">
        <v>42000</v>
      </c>
      <c r="R7" s="2">
        <v>42000</v>
      </c>
      <c r="S7" s="2">
        <v>42000</v>
      </c>
      <c r="T7" s="2">
        <v>42000</v>
      </c>
      <c r="U7" s="51">
        <f>(T7-Q7)/Q7</f>
        <v>0</v>
      </c>
    </row>
    <row r="8" spans="1:21" ht="12.75">
      <c r="A8" t="s">
        <v>775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P8" s="2"/>
      <c r="Q8" s="2"/>
      <c r="U8" s="51"/>
    </row>
    <row r="9" spans="1:21" ht="12.75">
      <c r="A9" s="6" t="s">
        <v>119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v>39122</v>
      </c>
      <c r="N9" s="8">
        <v>38225</v>
      </c>
      <c r="O9" s="8">
        <f aca="true" t="shared" si="0" ref="O9:T9">SUM(O7:O8)</f>
        <v>40571</v>
      </c>
      <c r="P9" s="8">
        <f t="shared" si="0"/>
        <v>40571</v>
      </c>
      <c r="Q9" s="8">
        <f t="shared" si="0"/>
        <v>42000</v>
      </c>
      <c r="R9" s="8">
        <f t="shared" si="0"/>
        <v>42000</v>
      </c>
      <c r="S9" s="8">
        <f t="shared" si="0"/>
        <v>42000</v>
      </c>
      <c r="T9" s="8">
        <f t="shared" si="0"/>
        <v>42000</v>
      </c>
      <c r="U9" s="59">
        <f>(T9-Q9)/Q9</f>
        <v>0</v>
      </c>
    </row>
    <row r="10" spans="3:2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3:21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2" t="s">
        <v>484</v>
      </c>
      <c r="R11" s="22"/>
      <c r="S11" s="55">
        <f>R9-S9</f>
        <v>0</v>
      </c>
      <c r="T11" s="2"/>
      <c r="U11" s="51"/>
    </row>
    <row r="12" spans="17:21" ht="12.75">
      <c r="Q12" s="22" t="s">
        <v>725</v>
      </c>
      <c r="R12" s="22"/>
      <c r="S12" s="55">
        <f>Q9-S9</f>
        <v>0</v>
      </c>
      <c r="U12" s="51"/>
    </row>
    <row r="13" spans="17:21" ht="12.75">
      <c r="Q13" s="22" t="s">
        <v>432</v>
      </c>
      <c r="R13" s="22"/>
      <c r="S13" s="55">
        <f>S9-T9</f>
        <v>0</v>
      </c>
      <c r="U13" s="51"/>
    </row>
    <row r="14" ht="12.75">
      <c r="U14" s="51"/>
    </row>
    <row r="15" ht="12.75"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2"/>
    </row>
    <row r="30" ht="12.75">
      <c r="U30" s="59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V99"/>
  <sheetViews>
    <sheetView zoomScale="75" zoomScaleNormal="75" workbookViewId="0" topLeftCell="A1">
      <selection activeCell="T9" sqref="T9:T2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11" width="11.7109375" style="0" hidden="1" customWidth="1"/>
    <col min="12" max="14" width="11.7109375" style="0" customWidth="1"/>
    <col min="15" max="16" width="9.8515625" style="0" bestFit="1" customWidth="1"/>
    <col min="17" max="17" width="10.8515625" style="0" customWidth="1"/>
    <col min="18" max="18" width="10.00390625" style="0" bestFit="1" customWidth="1"/>
    <col min="19" max="19" width="11.00390625" style="0" bestFit="1" customWidth="1"/>
    <col min="20" max="20" width="10.4218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443</v>
      </c>
      <c r="O3" s="56">
        <v>8</v>
      </c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39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907</v>
      </c>
      <c r="C7" s="1"/>
      <c r="D7" s="99"/>
      <c r="E7" s="99"/>
      <c r="F7" s="99"/>
      <c r="G7" s="99"/>
      <c r="H7" s="99"/>
      <c r="I7" s="99"/>
      <c r="J7" s="99"/>
      <c r="K7" s="99"/>
      <c r="L7" s="152">
        <v>98983</v>
      </c>
      <c r="M7" s="152">
        <v>99610</v>
      </c>
      <c r="N7" s="152"/>
      <c r="O7" s="136"/>
      <c r="P7" s="137"/>
      <c r="Q7" s="135"/>
      <c r="R7" s="135"/>
      <c r="S7" s="135"/>
      <c r="T7" s="135"/>
      <c r="U7" s="135"/>
      <c r="V7" s="115"/>
    </row>
    <row r="8" spans="1:22" ht="12.75">
      <c r="A8" t="s">
        <v>928</v>
      </c>
      <c r="C8" s="1"/>
      <c r="D8" s="99"/>
      <c r="E8" s="99"/>
      <c r="F8" s="99"/>
      <c r="G8" s="99"/>
      <c r="H8" s="99"/>
      <c r="I8" s="99"/>
      <c r="J8" s="99"/>
      <c r="K8" s="99"/>
      <c r="L8" s="152"/>
      <c r="M8" s="152">
        <v>5800</v>
      </c>
      <c r="N8" s="152"/>
      <c r="O8" s="136"/>
      <c r="P8" s="137"/>
      <c r="Q8" s="135"/>
      <c r="R8" s="135"/>
      <c r="S8" s="135"/>
      <c r="T8" s="135"/>
      <c r="U8" s="135"/>
      <c r="V8" s="115"/>
    </row>
    <row r="9" spans="1:22" ht="12.75">
      <c r="A9" t="s">
        <v>197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2">
        <v>2987</v>
      </c>
      <c r="N9" s="2">
        <v>3044</v>
      </c>
      <c r="O9" s="11">
        <v>1799</v>
      </c>
      <c r="P9" s="2">
        <v>3400</v>
      </c>
      <c r="Q9" s="2">
        <v>3400</v>
      </c>
      <c r="R9" s="2">
        <v>3400</v>
      </c>
      <c r="S9" s="2">
        <v>3400</v>
      </c>
      <c r="T9" s="2">
        <v>3400</v>
      </c>
      <c r="U9" s="51"/>
      <c r="V9" s="15"/>
    </row>
    <row r="10" spans="1:22" ht="12.75">
      <c r="A10" t="s">
        <v>198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2">
        <v>3630</v>
      </c>
      <c r="N10" s="2">
        <v>3450</v>
      </c>
      <c r="O10" s="11">
        <v>275</v>
      </c>
      <c r="P10" s="2"/>
      <c r="Q10" s="2">
        <v>4000</v>
      </c>
      <c r="R10" s="2"/>
      <c r="S10" s="2"/>
      <c r="T10" s="2"/>
      <c r="U10" s="89">
        <f>(T10-Q10)/Q10</f>
        <v>-1</v>
      </c>
      <c r="V10" t="s">
        <v>372</v>
      </c>
    </row>
    <row r="11" spans="1:21" ht="12.75">
      <c r="A11" t="s">
        <v>444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2">
        <v>11278</v>
      </c>
      <c r="N11" s="2">
        <v>9189</v>
      </c>
      <c r="O11" s="11">
        <v>6198</v>
      </c>
      <c r="P11" s="2">
        <v>7000</v>
      </c>
      <c r="Q11" s="2">
        <v>7000</v>
      </c>
      <c r="R11" s="2">
        <v>7000</v>
      </c>
      <c r="S11" s="2">
        <v>7000</v>
      </c>
      <c r="T11" s="2">
        <v>7000</v>
      </c>
      <c r="U11" s="89">
        <f>(T11-Q11)/Q11</f>
        <v>0</v>
      </c>
    </row>
    <row r="12" spans="1:21" ht="12.75">
      <c r="A12" t="s">
        <v>200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2">
        <v>6049</v>
      </c>
      <c r="N12" s="2">
        <v>6639</v>
      </c>
      <c r="O12" s="11">
        <v>5192</v>
      </c>
      <c r="P12" s="2">
        <v>6600</v>
      </c>
      <c r="Q12" s="2">
        <v>5500</v>
      </c>
      <c r="R12" s="2">
        <v>6600</v>
      </c>
      <c r="S12" s="2">
        <v>6600</v>
      </c>
      <c r="T12" s="2">
        <v>6600</v>
      </c>
      <c r="U12" s="89">
        <f>(T12-Q12)/Q12</f>
        <v>0.2</v>
      </c>
    </row>
    <row r="13" spans="1:21" ht="12.75" hidden="1">
      <c r="A13" t="s">
        <v>406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>O13/$O$3*12</f>
        <v>0</v>
      </c>
      <c r="Q13" s="2"/>
      <c r="R13" s="2"/>
      <c r="S13" s="2"/>
      <c r="T13" s="2"/>
      <c r="U13" s="89"/>
    </row>
    <row r="14" spans="1:21" ht="12.75" hidden="1">
      <c r="A14" t="s">
        <v>406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/>
      <c r="O14" s="2"/>
      <c r="P14" s="2">
        <f>O14/$O$3*12</f>
        <v>0</v>
      </c>
      <c r="Q14" s="2"/>
      <c r="R14" s="2"/>
      <c r="S14" s="2"/>
      <c r="T14" s="2"/>
      <c r="U14" s="89"/>
    </row>
    <row r="15" spans="1:21" ht="12.75" hidden="1">
      <c r="A15" t="s">
        <v>804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2"/>
      <c r="T15" s="2"/>
      <c r="U15" s="89"/>
    </row>
    <row r="16" spans="1:21" ht="12.75">
      <c r="A16" t="s">
        <v>893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2"/>
      <c r="T16" s="2"/>
      <c r="U16" s="89"/>
    </row>
    <row r="17" spans="1:21" ht="0.75" customHeight="1" hidden="1">
      <c r="A17" t="s">
        <v>677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150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2">
        <v>45131</v>
      </c>
      <c r="N18" s="2">
        <v>54018</v>
      </c>
      <c r="O18" s="11">
        <v>25505</v>
      </c>
      <c r="P18" s="2">
        <f>O18/$O$3*12</f>
        <v>38257.5</v>
      </c>
      <c r="Q18" s="2">
        <v>45000</v>
      </c>
      <c r="R18" s="2">
        <v>45000</v>
      </c>
      <c r="S18" s="2">
        <v>45000</v>
      </c>
      <c r="T18" s="2">
        <v>45000</v>
      </c>
      <c r="U18" s="89"/>
    </row>
    <row r="19" spans="1:21" ht="12.75">
      <c r="A19" t="s">
        <v>201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2">
        <v>6963</v>
      </c>
      <c r="N19" s="2">
        <v>6727</v>
      </c>
      <c r="O19" s="11">
        <v>2941</v>
      </c>
      <c r="P19" s="2">
        <f>O19/$O$3*12</f>
        <v>4411.5</v>
      </c>
      <c r="Q19" s="2">
        <v>5500</v>
      </c>
      <c r="R19" s="2">
        <v>5500</v>
      </c>
      <c r="S19" s="2">
        <v>5500</v>
      </c>
      <c r="T19" s="2">
        <v>5500</v>
      </c>
      <c r="U19" s="89">
        <f>(T19-Q19)/Q19</f>
        <v>0</v>
      </c>
    </row>
    <row r="20" spans="1:21" ht="12.75">
      <c r="A20" t="s">
        <v>175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>
        <v>291</v>
      </c>
      <c r="O20" s="2"/>
      <c r="P20" s="2">
        <f>O20/$O$3*12</f>
        <v>0</v>
      </c>
      <c r="Q20" s="2"/>
      <c r="R20" s="2"/>
      <c r="S20" s="2"/>
      <c r="T20" s="2"/>
      <c r="U20" s="89"/>
    </row>
    <row r="21" spans="1:22" ht="9.75" customHeight="1">
      <c r="A21" t="s">
        <v>202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2">
        <v>27886</v>
      </c>
      <c r="N21" s="2">
        <v>17204</v>
      </c>
      <c r="O21" s="11">
        <v>12762</v>
      </c>
      <c r="P21" s="2">
        <f>O21/$O$3*12</f>
        <v>19143</v>
      </c>
      <c r="Q21" s="2">
        <v>35000</v>
      </c>
      <c r="R21" s="2">
        <v>20000</v>
      </c>
      <c r="S21" s="2">
        <v>20000</v>
      </c>
      <c r="T21" s="2">
        <v>20000</v>
      </c>
      <c r="U21" s="89">
        <f>(T21-Q21)/Q21</f>
        <v>-0.42857142857142855</v>
      </c>
      <c r="V21" t="s">
        <v>372</v>
      </c>
    </row>
    <row r="22" spans="1:21" ht="12.75" hidden="1">
      <c r="A22" t="s">
        <v>696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2"/>
      <c r="N22" s="2"/>
      <c r="O22" s="11"/>
      <c r="P22" s="2"/>
      <c r="Q22" s="2"/>
      <c r="R22" s="2"/>
      <c r="S22" s="2"/>
      <c r="T22" s="2"/>
      <c r="U22" s="89"/>
    </row>
    <row r="23" spans="1:21" ht="12.75" hidden="1">
      <c r="A23" t="s">
        <v>647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1" ht="12.75">
      <c r="A24" t="s">
        <v>107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2"/>
      <c r="T24" s="2"/>
      <c r="U24" s="89"/>
    </row>
    <row r="25" spans="1:21" ht="12.75">
      <c r="A25" t="s">
        <v>108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>
        <v>11000</v>
      </c>
      <c r="Q25" s="2"/>
      <c r="R25" s="2"/>
      <c r="S25" s="2"/>
      <c r="T25" s="2"/>
      <c r="U25" s="89"/>
    </row>
    <row r="26" spans="1:21" ht="11.25" customHeight="1" hidden="1">
      <c r="A26" t="s">
        <v>737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10.5" customHeight="1" hidden="1">
      <c r="A27" t="s">
        <v>182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2"/>
      <c r="T27" s="2"/>
      <c r="U27" s="89"/>
    </row>
    <row r="28" spans="1:21" ht="12.75" hidden="1">
      <c r="A28" t="s">
        <v>785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2"/>
      <c r="T28" s="2"/>
      <c r="U28" s="89"/>
    </row>
    <row r="29" spans="2:21" ht="11.25" customHeight="1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/>
    </row>
    <row r="30" spans="1:21" ht="12.75" hidden="1">
      <c r="A30" t="s">
        <v>981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2" ht="12.75">
      <c r="A31" t="s">
        <v>796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111828</v>
      </c>
      <c r="N31" s="2"/>
      <c r="O31" s="2"/>
      <c r="P31" s="2"/>
      <c r="Q31" s="2"/>
      <c r="R31" s="2"/>
      <c r="S31" s="2"/>
      <c r="T31" s="2"/>
      <c r="U31" s="89"/>
      <c r="V31" s="6"/>
    </row>
    <row r="32" spans="1:21" ht="12.75" hidden="1">
      <c r="A32" t="s">
        <v>756</v>
      </c>
      <c r="B32" s="4">
        <v>54.11</v>
      </c>
      <c r="C32" s="2"/>
      <c r="D32" s="2"/>
      <c r="E32" s="2"/>
      <c r="F32" s="2">
        <v>265</v>
      </c>
      <c r="G32" s="2">
        <v>66</v>
      </c>
      <c r="H32" s="2"/>
      <c r="I32" s="2"/>
      <c r="J32" s="2">
        <v>105595</v>
      </c>
      <c r="K32" s="2">
        <v>901</v>
      </c>
      <c r="L32" s="2"/>
      <c r="M32" s="2"/>
      <c r="N32" s="2"/>
      <c r="O32" s="2"/>
      <c r="P32" s="2"/>
      <c r="Q32" s="2"/>
      <c r="R32" s="2"/>
      <c r="S32" s="2"/>
      <c r="T32" s="2"/>
      <c r="U32" s="51"/>
    </row>
    <row r="33" spans="1:22" ht="12.75" hidden="1">
      <c r="A33" t="s">
        <v>766</v>
      </c>
      <c r="B33" s="4">
        <v>54.1303</v>
      </c>
      <c r="C33" s="2"/>
      <c r="D33" s="2"/>
      <c r="E33" s="2"/>
      <c r="F33" s="2"/>
      <c r="G33" s="2"/>
      <c r="H33" s="2"/>
      <c r="I33" s="2"/>
      <c r="J33" s="2"/>
      <c r="K33" s="2">
        <v>357098</v>
      </c>
      <c r="L33" s="2"/>
      <c r="M33" s="2"/>
      <c r="N33" s="2"/>
      <c r="O33" s="2"/>
      <c r="P33" s="2"/>
      <c r="Q33" s="2"/>
      <c r="R33" s="2"/>
      <c r="S33" s="2"/>
      <c r="T33" s="2"/>
      <c r="U33" s="51"/>
      <c r="V33" s="6"/>
    </row>
    <row r="34" spans="1:22" ht="12.75">
      <c r="A34" t="s">
        <v>768</v>
      </c>
      <c r="B34" s="4">
        <v>54.1006</v>
      </c>
      <c r="C34" s="2"/>
      <c r="D34" s="2"/>
      <c r="E34" s="2"/>
      <c r="F34" s="2"/>
      <c r="G34" s="2"/>
      <c r="H34" s="2"/>
      <c r="I34" s="2"/>
      <c r="J34" s="2"/>
      <c r="K34" s="2">
        <v>136089</v>
      </c>
      <c r="L34" s="2">
        <v>31582</v>
      </c>
      <c r="M34" s="2"/>
      <c r="N34" s="2"/>
      <c r="O34" s="2"/>
      <c r="P34" s="2"/>
      <c r="Q34" s="2"/>
      <c r="R34" s="2"/>
      <c r="S34" s="2"/>
      <c r="T34" s="2"/>
      <c r="U34" s="51"/>
      <c r="V34" s="6"/>
    </row>
    <row r="35" spans="1:22" ht="12.75">
      <c r="A35" t="s">
        <v>795</v>
      </c>
      <c r="B35" s="4">
        <v>54.1302</v>
      </c>
      <c r="C35" s="2"/>
      <c r="D35" s="2"/>
      <c r="E35" s="2"/>
      <c r="F35" s="2"/>
      <c r="G35" s="2"/>
      <c r="H35" s="2"/>
      <c r="I35" s="2"/>
      <c r="J35" s="2"/>
      <c r="K35" s="2">
        <v>65</v>
      </c>
      <c r="L35" s="2">
        <v>202796</v>
      </c>
      <c r="M35" s="2">
        <v>565608</v>
      </c>
      <c r="N35" s="2">
        <v>-989</v>
      </c>
      <c r="O35" s="2"/>
      <c r="P35" s="2"/>
      <c r="Q35" s="2"/>
      <c r="R35" s="2"/>
      <c r="S35" s="2"/>
      <c r="T35" s="2"/>
      <c r="U35" s="51"/>
      <c r="V35" s="6"/>
    </row>
    <row r="36" spans="1:22" ht="12.75">
      <c r="A36" t="s">
        <v>894</v>
      </c>
      <c r="C36" s="2"/>
      <c r="D36" s="2"/>
      <c r="E36" s="2"/>
      <c r="F36" s="2"/>
      <c r="G36" s="2"/>
      <c r="H36" s="2"/>
      <c r="I36" s="2"/>
      <c r="J36" s="2"/>
      <c r="K36" s="2"/>
      <c r="L36" s="2">
        <v>12511</v>
      </c>
      <c r="M36" s="2"/>
      <c r="N36" s="2"/>
      <c r="O36" s="2"/>
      <c r="P36" s="2"/>
      <c r="Q36" s="2"/>
      <c r="R36" s="2"/>
      <c r="S36" s="2"/>
      <c r="T36" s="2"/>
      <c r="U36" s="51"/>
      <c r="V36" s="6"/>
    </row>
    <row r="37" spans="1:21" ht="12.75" hidden="1">
      <c r="A37" t="s">
        <v>556</v>
      </c>
      <c r="B37" s="4">
        <v>54.25</v>
      </c>
      <c r="C37" s="2"/>
      <c r="D37" s="2"/>
      <c r="E37" s="2"/>
      <c r="F37" s="2"/>
      <c r="G37" s="2"/>
      <c r="H37" s="2">
        <v>12790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1"/>
    </row>
    <row r="38" spans="2:21" ht="12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51"/>
    </row>
    <row r="39" spans="1:21" ht="12.75" hidden="1">
      <c r="A39" t="s">
        <v>582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s="6" t="s">
        <v>119</v>
      </c>
      <c r="B40" s="6"/>
      <c r="C40" s="8">
        <f>SUM(C9:C21)</f>
        <v>53061</v>
      </c>
      <c r="D40" s="8">
        <f>SUM(D9:D21)</f>
        <v>55005</v>
      </c>
      <c r="E40" s="8">
        <f>SUM(E9:E39)</f>
        <v>58719</v>
      </c>
      <c r="F40" s="8">
        <f>SUM(F9:F39)</f>
        <v>75545</v>
      </c>
      <c r="G40" s="8">
        <f>SUM(G9:G39)</f>
        <v>103572</v>
      </c>
      <c r="H40" s="8">
        <f>SUM(H9:H39)</f>
        <v>113996</v>
      </c>
      <c r="I40" s="8">
        <f>SUM(I9:I39)</f>
        <v>166731</v>
      </c>
      <c r="J40" s="8">
        <v>236975</v>
      </c>
      <c r="K40" s="8">
        <f>SUM(K9:K39)</f>
        <v>606818</v>
      </c>
      <c r="L40" s="8">
        <v>462487</v>
      </c>
      <c r="M40" s="8">
        <v>886770</v>
      </c>
      <c r="N40" s="8">
        <v>99573</v>
      </c>
      <c r="O40" s="8">
        <f>SUM(O7:O39)</f>
        <v>54672</v>
      </c>
      <c r="P40" s="8">
        <f>SUM(P7:P39)</f>
        <v>89812</v>
      </c>
      <c r="Q40" s="8">
        <f>SUM(Q9:Q39)</f>
        <v>105400</v>
      </c>
      <c r="R40" s="8">
        <f>SUM(R9:R39)</f>
        <v>87500</v>
      </c>
      <c r="S40" s="8">
        <f>SUM(S9:S39)</f>
        <v>87500</v>
      </c>
      <c r="T40" s="8">
        <f>SUM(T9:T39)</f>
        <v>87500</v>
      </c>
      <c r="U40" s="52">
        <f>(T40-Q40)/Q40</f>
        <v>-0.1698292220113852</v>
      </c>
    </row>
    <row r="41" spans="3:2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51"/>
    </row>
    <row r="42" spans="2:21" ht="12.75">
      <c r="B42" s="1"/>
      <c r="D42" s="35" t="s">
        <v>359</v>
      </c>
      <c r="E42" s="35" t="s">
        <v>360</v>
      </c>
      <c r="F42" t="s">
        <v>405</v>
      </c>
      <c r="O42" s="35"/>
      <c r="P42" s="2"/>
      <c r="Q42" s="22" t="s">
        <v>484</v>
      </c>
      <c r="R42" s="22"/>
      <c r="S42" s="55">
        <f>R40-S40</f>
        <v>0</v>
      </c>
      <c r="T42" s="2"/>
      <c r="U42" s="51"/>
    </row>
    <row r="43" spans="1:21" ht="12.75">
      <c r="A43" s="15"/>
      <c r="B43" s="1"/>
      <c r="D43" s="1" t="s">
        <v>361</v>
      </c>
      <c r="E43" s="1" t="s">
        <v>361</v>
      </c>
      <c r="O43" s="1"/>
      <c r="Q43" s="22" t="s">
        <v>725</v>
      </c>
      <c r="R43" s="22"/>
      <c r="S43" s="55">
        <f>Q40-S40</f>
        <v>17900</v>
      </c>
      <c r="U43" s="51"/>
    </row>
    <row r="44" spans="1:21" ht="12.75">
      <c r="A44" s="15"/>
      <c r="B44" s="1"/>
      <c r="D44" s="1" t="s">
        <v>361</v>
      </c>
      <c r="E44" s="1" t="s">
        <v>361</v>
      </c>
      <c r="O44" s="1"/>
      <c r="Q44" s="22" t="s">
        <v>432</v>
      </c>
      <c r="R44" s="22"/>
      <c r="S44" s="55">
        <f>S40-T40</f>
        <v>0</v>
      </c>
      <c r="U44" s="51"/>
    </row>
    <row r="45" spans="1:21" ht="12.75">
      <c r="A45" s="15"/>
      <c r="B45" s="1"/>
      <c r="D45" s="1" t="s">
        <v>361</v>
      </c>
      <c r="E45" s="1" t="s">
        <v>361</v>
      </c>
      <c r="F45" s="1" t="s">
        <v>361</v>
      </c>
      <c r="G45" s="1"/>
      <c r="H45" s="1"/>
      <c r="I45" s="1"/>
      <c r="J45" s="1"/>
      <c r="K45" s="1"/>
      <c r="L45" s="1"/>
      <c r="M45" s="1"/>
      <c r="N45" s="1"/>
      <c r="U45" s="51"/>
    </row>
    <row r="46" spans="1:21" ht="12.75">
      <c r="A46" s="15" t="s">
        <v>1033</v>
      </c>
      <c r="B46" s="1"/>
      <c r="D46" s="1" t="s">
        <v>361</v>
      </c>
      <c r="E46" s="1" t="s">
        <v>361</v>
      </c>
      <c r="Q46" s="1"/>
      <c r="U46" s="51"/>
    </row>
    <row r="47" spans="1:21" ht="12.75">
      <c r="A47" s="15"/>
      <c r="B47" s="1"/>
      <c r="D47" s="1" t="s">
        <v>361</v>
      </c>
      <c r="E47" s="1" t="s">
        <v>361</v>
      </c>
      <c r="F47" s="1" t="s">
        <v>361</v>
      </c>
      <c r="G47" s="1"/>
      <c r="H47" s="1"/>
      <c r="I47" s="1"/>
      <c r="J47" s="1"/>
      <c r="K47" s="1"/>
      <c r="L47" s="35"/>
      <c r="M47" s="35"/>
      <c r="N47" s="35"/>
      <c r="U47" s="51"/>
    </row>
    <row r="48" spans="1:21" ht="12.75">
      <c r="A48" s="15"/>
      <c r="B48" s="1"/>
      <c r="D48" s="1" t="s">
        <v>361</v>
      </c>
      <c r="E48" s="1" t="s">
        <v>551</v>
      </c>
      <c r="U48" s="51"/>
    </row>
    <row r="49" spans="1:21" ht="12.75">
      <c r="A49" s="15"/>
      <c r="B49" s="1"/>
      <c r="D49" s="1" t="s">
        <v>361</v>
      </c>
      <c r="E49" s="1" t="s">
        <v>361</v>
      </c>
      <c r="U49" s="51"/>
    </row>
    <row r="50" spans="1:21" ht="12.75">
      <c r="A50" s="15"/>
      <c r="B50" s="1"/>
      <c r="D50" s="1" t="s">
        <v>361</v>
      </c>
      <c r="E50" s="1" t="s">
        <v>361</v>
      </c>
      <c r="T50" s="4"/>
      <c r="U50" s="156"/>
    </row>
    <row r="51" spans="1:21" ht="12.75">
      <c r="A51" s="15"/>
      <c r="B51" s="1"/>
      <c r="D51" s="1" t="s">
        <v>361</v>
      </c>
      <c r="E51" s="1" t="s">
        <v>361</v>
      </c>
      <c r="T51" s="4"/>
      <c r="U51" s="156"/>
    </row>
    <row r="52" spans="1:21" ht="12.75">
      <c r="A52" s="15"/>
      <c r="B52" s="1"/>
      <c r="D52" s="1" t="s">
        <v>361</v>
      </c>
      <c r="E52" s="1" t="s">
        <v>361</v>
      </c>
      <c r="O52" s="1"/>
      <c r="U52" s="51"/>
    </row>
    <row r="53" spans="1:21" ht="12.75">
      <c r="A53" s="15"/>
      <c r="B53" s="1"/>
      <c r="D53" s="1" t="s">
        <v>361</v>
      </c>
      <c r="E53" s="1"/>
      <c r="U53" s="51"/>
    </row>
    <row r="54" spans="1:21" ht="12.75">
      <c r="A54" s="15"/>
      <c r="B54" s="1"/>
      <c r="D54" s="1" t="s">
        <v>361</v>
      </c>
      <c r="E54" s="1"/>
      <c r="U54" s="51"/>
    </row>
    <row r="55" spans="1:21" ht="12.75">
      <c r="A55" s="15"/>
      <c r="B55" s="1"/>
      <c r="D55" s="1" t="s">
        <v>361</v>
      </c>
      <c r="E55" s="1" t="s">
        <v>361</v>
      </c>
      <c r="U55" s="51"/>
    </row>
    <row r="56" ht="12.75">
      <c r="U56" s="51"/>
    </row>
    <row r="57" spans="1:21" ht="12.75">
      <c r="A57" s="15"/>
      <c r="U57" s="51"/>
    </row>
    <row r="58" ht="12.75">
      <c r="U58" s="51"/>
    </row>
    <row r="59" spans="1:21" ht="12.75">
      <c r="A59" s="15"/>
      <c r="U59" s="51"/>
    </row>
    <row r="61" ht="12.75">
      <c r="U61" s="59"/>
    </row>
    <row r="62" ht="12.75">
      <c r="A62" s="15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98" ht="12.75">
      <c r="U98" s="2"/>
    </row>
    <row r="99" ht="12.75">
      <c r="U99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79"/>
  <sheetViews>
    <sheetView zoomScale="75" zoomScaleNormal="75" workbookViewId="0" topLeftCell="A1">
      <selection activeCell="T8" sqref="T8:T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10" width="6.8515625" style="0" hidden="1" customWidth="1"/>
    <col min="11" max="11" width="6.28125" style="0" hidden="1" customWidth="1"/>
    <col min="12" max="14" width="6.8515625" style="0" customWidth="1"/>
    <col min="15" max="15" width="7.00390625" style="0" bestFit="1" customWidth="1"/>
    <col min="16" max="16" width="9.7109375" style="0" bestFit="1" customWidth="1"/>
    <col min="17" max="17" width="11.7109375" style="0" customWidth="1"/>
    <col min="18" max="18" width="9.421875" style="0" customWidth="1"/>
    <col min="19" max="19" width="9.00390625" style="0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446</v>
      </c>
      <c r="O3" s="56">
        <v>8</v>
      </c>
      <c r="P3" s="9"/>
      <c r="U3" s="1" t="s">
        <v>434</v>
      </c>
    </row>
    <row r="4" spans="4:2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3:2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1"/>
    </row>
    <row r="8" spans="1:21" ht="12.75">
      <c r="A8" t="s">
        <v>534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3130</v>
      </c>
      <c r="P8" s="2">
        <v>3300</v>
      </c>
      <c r="Q8" s="2">
        <v>3300</v>
      </c>
      <c r="R8" s="2">
        <v>3300</v>
      </c>
      <c r="S8" s="2">
        <v>3300</v>
      </c>
      <c r="T8" s="2">
        <v>3300</v>
      </c>
      <c r="U8" s="89">
        <f>(T8-Q8)/Q8</f>
        <v>0</v>
      </c>
    </row>
    <row r="9" spans="1:22" ht="12.75" hidden="1">
      <c r="A9" t="s">
        <v>204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9"/>
      <c r="V9" t="s">
        <v>372</v>
      </c>
    </row>
    <row r="10" spans="1:21" ht="12.75">
      <c r="A10" t="s">
        <v>750</v>
      </c>
      <c r="B10" s="4">
        <v>52.3612</v>
      </c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2">
        <v>450</v>
      </c>
      <c r="T10" s="2">
        <v>450</v>
      </c>
      <c r="U10" s="89"/>
    </row>
    <row r="11" spans="1:21" ht="12.75">
      <c r="A11" t="s">
        <v>602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>
        <v>1000</v>
      </c>
      <c r="O11" s="2">
        <v>500</v>
      </c>
      <c r="P11" s="2">
        <v>500</v>
      </c>
      <c r="Q11" s="2">
        <v>500</v>
      </c>
      <c r="R11" s="2">
        <v>500</v>
      </c>
      <c r="S11" s="2">
        <v>500</v>
      </c>
      <c r="T11" s="2">
        <v>500</v>
      </c>
      <c r="U11" s="89">
        <f>(T11-Q11)/Q11</f>
        <v>0</v>
      </c>
    </row>
    <row r="12" spans="3:21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s="6" t="s">
        <v>119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T13">SUM(K8:K11)</f>
        <v>3945</v>
      </c>
      <c r="L13" s="8">
        <v>4245</v>
      </c>
      <c r="M13" s="8">
        <v>3745</v>
      </c>
      <c r="N13" s="8">
        <v>4745</v>
      </c>
      <c r="O13" s="8">
        <f t="shared" si="0"/>
        <v>4080</v>
      </c>
      <c r="P13" s="8">
        <f t="shared" si="0"/>
        <v>4250</v>
      </c>
      <c r="Q13" s="8">
        <f t="shared" si="0"/>
        <v>4250</v>
      </c>
      <c r="R13" s="8">
        <f t="shared" si="0"/>
        <v>4250</v>
      </c>
      <c r="S13" s="8">
        <f t="shared" si="0"/>
        <v>4250</v>
      </c>
      <c r="T13" s="8">
        <f t="shared" si="0"/>
        <v>4250</v>
      </c>
      <c r="U13" s="52">
        <f>(T13-Q13)/Q13</f>
        <v>0</v>
      </c>
    </row>
    <row r="14" spans="3:21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2" t="s">
        <v>484</v>
      </c>
      <c r="R15" s="22"/>
      <c r="S15" s="55">
        <f>R13-S13</f>
        <v>0</v>
      </c>
      <c r="T15" s="2"/>
      <c r="U15" s="51"/>
    </row>
    <row r="16" spans="12:21" ht="12.75">
      <c r="L16" s="2"/>
      <c r="M16" s="2"/>
      <c r="N16" s="2"/>
      <c r="Q16" s="22" t="s">
        <v>725</v>
      </c>
      <c r="R16" s="22"/>
      <c r="S16" s="55">
        <f>Q13-S13</f>
        <v>0</v>
      </c>
      <c r="U16" s="51"/>
    </row>
    <row r="17" spans="17:21" ht="12.75">
      <c r="Q17" s="22" t="s">
        <v>432</v>
      </c>
      <c r="R17" s="22"/>
      <c r="S17" s="55">
        <f>S13-T13</f>
        <v>0</v>
      </c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1" ht="12.75">
      <c r="U41" s="59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W43"/>
  <sheetViews>
    <sheetView zoomScale="75" zoomScaleNormal="75" workbookViewId="0" topLeftCell="A1">
      <selection activeCell="T8" sqref="T8:T2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0" width="8.7109375" style="0" hidden="1" customWidth="1"/>
    <col min="11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710937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6" ht="12.75">
      <c r="A2" t="s">
        <v>110</v>
      </c>
      <c r="K2" s="159"/>
      <c r="L2" s="159"/>
      <c r="M2" s="159"/>
      <c r="N2" s="159"/>
      <c r="O2" s="159"/>
      <c r="P2" s="159"/>
    </row>
    <row r="3" spans="1:21" ht="12.75">
      <c r="A3" s="6" t="s">
        <v>447</v>
      </c>
      <c r="O3" s="56">
        <v>9</v>
      </c>
      <c r="P3" s="9"/>
      <c r="U3" s="1" t="s">
        <v>434</v>
      </c>
    </row>
    <row r="4" spans="4:21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445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2:21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51"/>
    </row>
    <row r="8" spans="1:21" ht="12.75">
      <c r="A8" t="s">
        <v>206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23860</v>
      </c>
      <c r="N8" s="2">
        <v>24560</v>
      </c>
      <c r="O8" s="2">
        <v>18024</v>
      </c>
      <c r="P8" s="2">
        <f>+O8/$O$3*12</f>
        <v>24032</v>
      </c>
      <c r="Q8" s="31">
        <v>24465.74</v>
      </c>
      <c r="R8" s="31">
        <v>25000</v>
      </c>
      <c r="S8" s="31">
        <v>24500</v>
      </c>
      <c r="T8" s="31">
        <v>24500</v>
      </c>
      <c r="U8" s="89">
        <f>(T8-Q8)/Q8</f>
        <v>0.0014003255164159512</v>
      </c>
    </row>
    <row r="9" spans="1:21" ht="12.75">
      <c r="A9" t="s">
        <v>141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5467</v>
      </c>
      <c r="N9" s="2">
        <v>5925</v>
      </c>
      <c r="O9" s="2">
        <v>4246</v>
      </c>
      <c r="P9" s="2">
        <f>+O9/$O$3*12</f>
        <v>5661.333333333333</v>
      </c>
      <c r="Q9" s="2">
        <f>(Q8+Q21+Q14)*0.0765</f>
        <v>6767.62911</v>
      </c>
      <c r="R9" s="2">
        <v>7000</v>
      </c>
      <c r="S9" s="2">
        <f>(S8+S21+S14)*0.0765</f>
        <v>6846.75</v>
      </c>
      <c r="T9" s="2">
        <f>(T8+T21+T14)*0.0765</f>
        <v>6846.75</v>
      </c>
      <c r="U9" s="89">
        <f>(T9-Q9)/Q9</f>
        <v>0.011691079507162907</v>
      </c>
    </row>
    <row r="10" spans="1:21" ht="12.75">
      <c r="A10" t="s">
        <v>1020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177</v>
      </c>
      <c r="P10" s="2">
        <v>177</v>
      </c>
      <c r="Q10" s="2">
        <v>177</v>
      </c>
      <c r="R10" s="2">
        <v>200</v>
      </c>
      <c r="S10" s="2">
        <v>200</v>
      </c>
      <c r="T10" s="2">
        <v>200</v>
      </c>
      <c r="U10" s="89">
        <f>(T10-Q10)/Q10</f>
        <v>0.12994350282485875</v>
      </c>
    </row>
    <row r="11" spans="2:21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9"/>
    </row>
    <row r="12" spans="1:22" ht="12.75">
      <c r="A12" t="s">
        <v>402</v>
      </c>
      <c r="B12" s="4">
        <v>52.125</v>
      </c>
      <c r="C12" s="2"/>
      <c r="E12" s="2">
        <v>25545</v>
      </c>
      <c r="F12" s="2">
        <v>47748</v>
      </c>
      <c r="G12" s="2">
        <v>26553</v>
      </c>
      <c r="H12" s="2">
        <v>27929</v>
      </c>
      <c r="I12" s="2">
        <f>1093+18599</f>
        <v>19692</v>
      </c>
      <c r="J12" s="2">
        <v>20546</v>
      </c>
      <c r="K12" s="2">
        <v>15645</v>
      </c>
      <c r="L12" s="2">
        <f>20939+1454</f>
        <v>22393</v>
      </c>
      <c r="M12" s="2">
        <v>44437</v>
      </c>
      <c r="N12" s="2">
        <v>40428</v>
      </c>
      <c r="O12" s="2">
        <v>30151</v>
      </c>
      <c r="P12" s="2">
        <f>+O12/$O$3*12</f>
        <v>40201.333333333336</v>
      </c>
      <c r="Q12" s="2">
        <v>25000</v>
      </c>
      <c r="R12" s="2">
        <v>40000</v>
      </c>
      <c r="S12" s="2">
        <v>40000</v>
      </c>
      <c r="T12" s="2">
        <v>40000</v>
      </c>
      <c r="U12" s="89">
        <f>(T12-Q12)/Q12</f>
        <v>0.6</v>
      </c>
      <c r="V12" t="s">
        <v>510</v>
      </c>
    </row>
    <row r="13" spans="1:22" ht="12.75">
      <c r="A13" t="s">
        <v>990</v>
      </c>
      <c r="B13" s="4">
        <v>52.1315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732</v>
      </c>
      <c r="Q13" s="20">
        <v>732</v>
      </c>
      <c r="R13" s="20">
        <v>1000</v>
      </c>
      <c r="S13" s="20">
        <v>732</v>
      </c>
      <c r="T13" s="20">
        <v>732</v>
      </c>
      <c r="U13" s="89"/>
      <c r="V13" s="20"/>
    </row>
    <row r="14" spans="1:21" ht="12.75">
      <c r="A14" t="s">
        <v>208</v>
      </c>
      <c r="B14" s="4">
        <v>52.132</v>
      </c>
      <c r="C14" s="2">
        <v>23422</v>
      </c>
      <c r="D14" s="2">
        <v>28619</v>
      </c>
      <c r="E14" s="2">
        <v>38628</v>
      </c>
      <c r="F14" s="2">
        <v>29130</v>
      </c>
      <c r="G14" s="2">
        <v>31963</v>
      </c>
      <c r="H14" s="2">
        <v>37861</v>
      </c>
      <c r="I14" s="2">
        <v>39051</v>
      </c>
      <c r="J14" s="2">
        <v>38765</v>
      </c>
      <c r="K14" s="2">
        <f>38793+29</f>
        <v>38822</v>
      </c>
      <c r="L14" s="2">
        <f>45608+1272</f>
        <v>46880</v>
      </c>
      <c r="M14" s="2">
        <v>46205</v>
      </c>
      <c r="N14" s="2">
        <v>41720</v>
      </c>
      <c r="O14" s="2">
        <v>32976</v>
      </c>
      <c r="P14" s="2">
        <f>+O14/$O$3*12</f>
        <v>43968</v>
      </c>
      <c r="Q14" s="2">
        <v>39000</v>
      </c>
      <c r="R14" s="2">
        <v>45000</v>
      </c>
      <c r="S14" s="2">
        <v>40000</v>
      </c>
      <c r="T14" s="2">
        <v>40000</v>
      </c>
      <c r="U14" s="89"/>
    </row>
    <row r="15" spans="1:22" ht="12.75">
      <c r="A15" t="s">
        <v>94</v>
      </c>
      <c r="B15" s="4">
        <v>52.133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1175</v>
      </c>
      <c r="P15" s="2">
        <v>1375</v>
      </c>
      <c r="Q15" s="2"/>
      <c r="R15" s="2">
        <v>1200</v>
      </c>
      <c r="S15" s="2">
        <v>1200</v>
      </c>
      <c r="T15" s="2">
        <v>1200</v>
      </c>
      <c r="U15" s="89"/>
      <c r="V15" s="20" t="s">
        <v>372</v>
      </c>
    </row>
    <row r="16" spans="1:21" ht="12.75">
      <c r="A16" t="s">
        <v>209</v>
      </c>
      <c r="B16" s="4">
        <v>52.2204</v>
      </c>
      <c r="C16" s="2">
        <v>499</v>
      </c>
      <c r="D16" s="2">
        <v>594</v>
      </c>
      <c r="E16" s="2">
        <v>552</v>
      </c>
      <c r="F16" s="2">
        <v>588</v>
      </c>
      <c r="G16" s="2"/>
      <c r="H16" s="2"/>
      <c r="I16" s="2"/>
      <c r="J16" s="2"/>
      <c r="K16" s="2"/>
      <c r="L16" s="2"/>
      <c r="M16" s="2"/>
      <c r="N16" s="2"/>
      <c r="O16" s="2"/>
      <c r="P16" s="20"/>
      <c r="Q16" s="20">
        <v>732</v>
      </c>
      <c r="R16" s="20"/>
      <c r="S16" s="20"/>
      <c r="T16" s="20"/>
      <c r="U16" s="89"/>
    </row>
    <row r="17" spans="1:21" ht="12.75">
      <c r="A17" t="s">
        <v>143</v>
      </c>
      <c r="B17" s="4">
        <v>52.32</v>
      </c>
      <c r="C17" s="2">
        <v>4690</v>
      </c>
      <c r="D17" s="2">
        <v>3752</v>
      </c>
      <c r="E17" s="2">
        <v>4631</v>
      </c>
      <c r="F17" s="2">
        <v>4206</v>
      </c>
      <c r="G17" s="2">
        <v>4326</v>
      </c>
      <c r="H17" s="2">
        <v>4327</v>
      </c>
      <c r="I17" s="2">
        <v>4413</v>
      </c>
      <c r="J17" s="2">
        <v>4603</v>
      </c>
      <c r="K17" s="2">
        <v>4465</v>
      </c>
      <c r="L17" s="2">
        <v>4008</v>
      </c>
      <c r="M17" s="2">
        <v>3785</v>
      </c>
      <c r="N17" s="2">
        <v>4302</v>
      </c>
      <c r="O17" s="2">
        <v>2556</v>
      </c>
      <c r="P17" s="2">
        <f aca="true" t="shared" si="0" ref="P17:P22">+O17/$O$3*12</f>
        <v>3408</v>
      </c>
      <c r="Q17" s="2">
        <v>4000</v>
      </c>
      <c r="R17" s="2">
        <v>4000</v>
      </c>
      <c r="S17" s="2">
        <v>4000</v>
      </c>
      <c r="T17" s="2">
        <v>4000</v>
      </c>
      <c r="U17" s="89">
        <f>(T17-Q17)/Q17</f>
        <v>0</v>
      </c>
    </row>
    <row r="18" spans="1:21" ht="12.75">
      <c r="A18" t="s">
        <v>144</v>
      </c>
      <c r="B18" s="4">
        <v>52.321</v>
      </c>
      <c r="C18" s="2">
        <v>617</v>
      </c>
      <c r="D18" s="2">
        <v>785</v>
      </c>
      <c r="E18" s="2">
        <v>1016</v>
      </c>
      <c r="F18" s="2">
        <v>821</v>
      </c>
      <c r="G18" s="2">
        <v>823</v>
      </c>
      <c r="H18" s="2">
        <v>649</v>
      </c>
      <c r="I18" s="2">
        <v>453</v>
      </c>
      <c r="J18" s="2">
        <v>705</v>
      </c>
      <c r="K18" s="2">
        <v>442</v>
      </c>
      <c r="L18" s="2">
        <v>420</v>
      </c>
      <c r="M18" s="2">
        <v>194</v>
      </c>
      <c r="N18" s="2">
        <v>198</v>
      </c>
      <c r="O18" s="2">
        <v>374</v>
      </c>
      <c r="P18" s="2">
        <v>500</v>
      </c>
      <c r="Q18" s="2">
        <v>300</v>
      </c>
      <c r="R18" s="2">
        <v>600</v>
      </c>
      <c r="S18" s="2">
        <v>300</v>
      </c>
      <c r="T18" s="2">
        <v>300</v>
      </c>
      <c r="U18" s="89">
        <f>(T18-Q18)/Q18</f>
        <v>0</v>
      </c>
    </row>
    <row r="19" spans="1:23" ht="12.75">
      <c r="A19" t="s">
        <v>156</v>
      </c>
      <c r="B19" s="4">
        <v>52.35</v>
      </c>
      <c r="C19" s="2">
        <v>162</v>
      </c>
      <c r="D19" s="2">
        <v>155</v>
      </c>
      <c r="E19" s="2"/>
      <c r="F19" s="2"/>
      <c r="G19" s="2"/>
      <c r="H19" s="2"/>
      <c r="I19" s="2">
        <v>731</v>
      </c>
      <c r="J19" s="2">
        <v>493</v>
      </c>
      <c r="K19" s="2">
        <v>312</v>
      </c>
      <c r="L19" s="2">
        <v>145</v>
      </c>
      <c r="M19" s="2">
        <v>371</v>
      </c>
      <c r="N19" s="2">
        <v>103</v>
      </c>
      <c r="O19" s="2">
        <v>343</v>
      </c>
      <c r="P19" s="2">
        <v>343</v>
      </c>
      <c r="Q19" s="2">
        <v>200</v>
      </c>
      <c r="R19" s="2">
        <v>600</v>
      </c>
      <c r="S19" s="2">
        <v>200</v>
      </c>
      <c r="T19" s="2">
        <v>200</v>
      </c>
      <c r="U19" s="89">
        <f>(T19-Q19)/Q19</f>
        <v>0</v>
      </c>
      <c r="W19" s="2"/>
    </row>
    <row r="20" spans="1:21" ht="12.75">
      <c r="A20" t="s">
        <v>146</v>
      </c>
      <c r="B20" s="4">
        <v>52.36</v>
      </c>
      <c r="C20" s="2">
        <v>115</v>
      </c>
      <c r="D20" s="2">
        <v>680</v>
      </c>
      <c r="E20" s="2">
        <v>325</v>
      </c>
      <c r="F20" s="2">
        <v>375</v>
      </c>
      <c r="G20" s="2">
        <v>390</v>
      </c>
      <c r="H20" s="2">
        <v>408</v>
      </c>
      <c r="I20" s="2">
        <v>453</v>
      </c>
      <c r="J20" s="2">
        <v>365</v>
      </c>
      <c r="K20" s="2">
        <v>425</v>
      </c>
      <c r="L20" s="2">
        <v>316</v>
      </c>
      <c r="M20" s="2"/>
      <c r="N20" s="2"/>
      <c r="O20" s="2"/>
      <c r="P20" s="2"/>
      <c r="Q20" s="2"/>
      <c r="R20" s="2"/>
      <c r="S20" s="2"/>
      <c r="T20" s="2"/>
      <c r="U20" s="89" t="e">
        <f>(T20-Q20)/Q20</f>
        <v>#DIV/0!</v>
      </c>
    </row>
    <row r="21" spans="1:21" ht="12.75">
      <c r="A21" t="s">
        <v>210</v>
      </c>
      <c r="B21" s="4">
        <v>52.3601</v>
      </c>
      <c r="C21" s="2"/>
      <c r="D21" s="2"/>
      <c r="E21" s="2">
        <v>16590</v>
      </c>
      <c r="F21" s="2">
        <v>18480</v>
      </c>
      <c r="G21" s="2">
        <v>16980</v>
      </c>
      <c r="H21" s="2">
        <v>17460</v>
      </c>
      <c r="I21" s="2">
        <v>23535</v>
      </c>
      <c r="J21" s="2">
        <v>29480</v>
      </c>
      <c r="K21" s="2">
        <v>26845</v>
      </c>
      <c r="L21" s="2">
        <v>23920</v>
      </c>
      <c r="M21" s="2">
        <v>23985</v>
      </c>
      <c r="N21" s="2">
        <v>26325</v>
      </c>
      <c r="O21" s="2">
        <v>17745</v>
      </c>
      <c r="P21" s="2">
        <f t="shared" si="0"/>
        <v>23660</v>
      </c>
      <c r="Q21" s="2">
        <v>25000</v>
      </c>
      <c r="R21" s="2">
        <v>25000</v>
      </c>
      <c r="S21" s="2">
        <v>25000</v>
      </c>
      <c r="T21" s="2">
        <v>25000</v>
      </c>
      <c r="U21" s="89">
        <f>(T21-Q21)/Q21</f>
        <v>0</v>
      </c>
    </row>
    <row r="22" spans="1:21" ht="12.75">
      <c r="A22" t="s">
        <v>403</v>
      </c>
      <c r="B22" s="4">
        <v>52.37</v>
      </c>
      <c r="C22" s="2"/>
      <c r="D22" s="2"/>
      <c r="E22" s="2"/>
      <c r="F22" s="2">
        <v>40</v>
      </c>
      <c r="G22" s="2">
        <v>150</v>
      </c>
      <c r="H22" s="2">
        <v>354</v>
      </c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  <c r="R22" s="2"/>
      <c r="S22" s="2"/>
      <c r="T22" s="2"/>
      <c r="U22" s="89"/>
    </row>
    <row r="23" spans="1:21" ht="12.75">
      <c r="A23" t="s">
        <v>895</v>
      </c>
      <c r="B23" s="4">
        <v>53.1737</v>
      </c>
      <c r="C23" s="2"/>
      <c r="D23" s="2"/>
      <c r="E23" s="2"/>
      <c r="F23" s="2"/>
      <c r="G23" s="2"/>
      <c r="H23" s="2"/>
      <c r="I23" s="2"/>
      <c r="J23" s="2"/>
      <c r="K23" s="2"/>
      <c r="L23" s="2">
        <v>167</v>
      </c>
      <c r="M23" s="2"/>
      <c r="N23" s="2"/>
      <c r="O23" s="2"/>
      <c r="P23" s="2"/>
      <c r="Q23" s="2"/>
      <c r="R23" s="2"/>
      <c r="S23" s="2"/>
      <c r="T23" s="2"/>
      <c r="U23" s="89"/>
    </row>
    <row r="24" spans="1:21" ht="11.25" customHeight="1">
      <c r="A24" t="s">
        <v>76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>
        <v>50</v>
      </c>
      <c r="M24" s="2"/>
      <c r="N24" s="2"/>
      <c r="O24" s="2">
        <v>80</v>
      </c>
      <c r="P24" s="2">
        <v>80</v>
      </c>
      <c r="Q24" s="2"/>
      <c r="R24" s="2">
        <v>1500</v>
      </c>
      <c r="S24" s="2">
        <v>200</v>
      </c>
      <c r="T24" s="2">
        <v>200</v>
      </c>
      <c r="U24" s="89"/>
    </row>
    <row r="25" spans="1:21" ht="12.75" hidden="1">
      <c r="A25" t="s">
        <v>707</v>
      </c>
      <c r="B25" s="4">
        <v>52.13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151</v>
      </c>
      <c r="B26" s="4">
        <v>53.171</v>
      </c>
      <c r="C26" s="2">
        <v>1273</v>
      </c>
      <c r="D26" s="2">
        <v>1502</v>
      </c>
      <c r="E26" s="2">
        <v>2093</v>
      </c>
      <c r="F26" s="2">
        <v>1792</v>
      </c>
      <c r="G26" s="2">
        <v>534</v>
      </c>
      <c r="H26" s="2">
        <v>1087</v>
      </c>
      <c r="I26" s="2">
        <v>1171</v>
      </c>
      <c r="J26" s="2">
        <v>470</v>
      </c>
      <c r="K26" s="2">
        <v>2173</v>
      </c>
      <c r="L26" s="2">
        <v>674</v>
      </c>
      <c r="M26" s="2">
        <v>363</v>
      </c>
      <c r="N26" s="2">
        <v>649</v>
      </c>
      <c r="O26" s="2">
        <v>614</v>
      </c>
      <c r="P26" s="2">
        <f>+O26/$O$3*12</f>
        <v>818.6666666666667</v>
      </c>
      <c r="Q26" s="2">
        <v>1000</v>
      </c>
      <c r="R26" s="2">
        <v>1000</v>
      </c>
      <c r="S26" s="2">
        <v>700</v>
      </c>
      <c r="T26" s="2">
        <v>700</v>
      </c>
      <c r="U26" s="89">
        <f>(T26-Q26)/Q26</f>
        <v>-0.3</v>
      </c>
    </row>
    <row r="27" spans="1:21" ht="12.75">
      <c r="A27" t="s">
        <v>664</v>
      </c>
      <c r="B27" s="4">
        <v>57.108</v>
      </c>
      <c r="C27" s="2"/>
      <c r="D27" s="2"/>
      <c r="E27" s="2"/>
      <c r="F27" s="2"/>
      <c r="G27" s="2"/>
      <c r="H27" s="2">
        <v>1509</v>
      </c>
      <c r="I27" s="2">
        <v>1690</v>
      </c>
      <c r="J27" s="2">
        <v>2005</v>
      </c>
      <c r="K27" s="2">
        <v>1465</v>
      </c>
      <c r="L27" s="2">
        <v>1495</v>
      </c>
      <c r="M27" s="2">
        <v>1479</v>
      </c>
      <c r="N27" s="2"/>
      <c r="O27" s="2"/>
      <c r="P27" s="2"/>
      <c r="Q27" s="2"/>
      <c r="R27" s="2"/>
      <c r="S27" s="2"/>
      <c r="T27" s="2"/>
      <c r="U27" s="51"/>
    </row>
    <row r="28" spans="1:21" ht="12.75">
      <c r="A28" s="6" t="s">
        <v>119</v>
      </c>
      <c r="B28" s="6"/>
      <c r="C28" s="8">
        <f>SUM(C7:C26)</f>
        <v>45517</v>
      </c>
      <c r="D28" s="8">
        <f>SUM(D7:D26)</f>
        <v>59773</v>
      </c>
      <c r="E28" s="8">
        <f>SUM(E8:E27)</f>
        <v>123167</v>
      </c>
      <c r="F28" s="8">
        <f>SUM(F7:F27)</f>
        <v>120603</v>
      </c>
      <c r="G28" s="8">
        <f>SUM(G7:G27)</f>
        <v>98891</v>
      </c>
      <c r="H28" s="8">
        <f>SUM(H7:H27)</f>
        <v>109895</v>
      </c>
      <c r="I28" s="8">
        <f>SUM(I7:I27)</f>
        <v>115279</v>
      </c>
      <c r="J28" s="8">
        <v>124035</v>
      </c>
      <c r="K28" s="8">
        <f>SUM(K8:K27)</f>
        <v>116502</v>
      </c>
      <c r="L28" s="8">
        <v>126972</v>
      </c>
      <c r="M28" s="8">
        <v>178942</v>
      </c>
      <c r="N28" s="8">
        <v>144210</v>
      </c>
      <c r="O28" s="8">
        <f aca="true" t="shared" si="1" ref="O28:T28">SUM(O8:O27)</f>
        <v>108461</v>
      </c>
      <c r="P28" s="8">
        <f t="shared" si="1"/>
        <v>144956.33333333334</v>
      </c>
      <c r="Q28" s="8">
        <f t="shared" si="1"/>
        <v>127374.36911</v>
      </c>
      <c r="R28" s="8">
        <f t="shared" si="1"/>
        <v>152100</v>
      </c>
      <c r="S28" s="8">
        <f t="shared" si="1"/>
        <v>143878.75</v>
      </c>
      <c r="T28" s="8">
        <f t="shared" si="1"/>
        <v>143878.75</v>
      </c>
      <c r="U28" s="52">
        <f>(T28-Q28)/Q28</f>
        <v>0.1295737989151246</v>
      </c>
    </row>
    <row r="29" spans="3:2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51"/>
    </row>
    <row r="30" spans="3:2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2" t="s">
        <v>484</v>
      </c>
      <c r="R30" s="22"/>
      <c r="S30" s="55">
        <f>R28-S28</f>
        <v>8221.25</v>
      </c>
      <c r="T30" s="2"/>
      <c r="U30" s="51"/>
    </row>
    <row r="31" spans="17:21" ht="12.75">
      <c r="Q31" s="22" t="s">
        <v>725</v>
      </c>
      <c r="R31" s="22"/>
      <c r="S31" s="55">
        <f>Q28-S28</f>
        <v>-16504.38089</v>
      </c>
      <c r="U31" s="51"/>
    </row>
    <row r="32" spans="1:21" ht="12.75">
      <c r="A32" s="33"/>
      <c r="Q32" s="22" t="s">
        <v>432</v>
      </c>
      <c r="R32" s="22"/>
      <c r="S32" s="55">
        <f>S28-T28</f>
        <v>0</v>
      </c>
      <c r="U32" s="51"/>
    </row>
    <row r="33" spans="1:21" ht="12.75">
      <c r="A33" t="s">
        <v>1034</v>
      </c>
      <c r="U33" s="51"/>
    </row>
    <row r="34" ht="12.75">
      <c r="A34" s="33" t="s">
        <v>1036</v>
      </c>
    </row>
    <row r="35" ht="12.75">
      <c r="A35" s="6"/>
    </row>
    <row r="38" ht="12.75">
      <c r="U38" s="2"/>
    </row>
    <row r="39" ht="12.75">
      <c r="U39" s="2"/>
    </row>
    <row r="40" ht="12.75">
      <c r="U40" s="2"/>
    </row>
    <row r="41" ht="12.75">
      <c r="U41" s="2"/>
    </row>
    <row r="42" ht="12.75">
      <c r="U42" s="2"/>
    </row>
    <row r="43" ht="12.75">
      <c r="U43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W77"/>
  <sheetViews>
    <sheetView zoomScale="75" zoomScaleNormal="75" workbookViewId="0" topLeftCell="A1">
      <selection activeCell="A10" sqref="A10:IV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0" max="20" width="11.0039062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4" ht="12.75">
      <c r="A2" t="s">
        <v>110</v>
      </c>
      <c r="K2" s="159"/>
      <c r="L2" s="159"/>
      <c r="M2" s="159"/>
      <c r="N2" s="159"/>
    </row>
    <row r="3" spans="1:21" ht="12.75">
      <c r="A3" s="6" t="s">
        <v>448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22" t="s">
        <v>652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187531</v>
      </c>
      <c r="N7" s="2">
        <v>180132</v>
      </c>
      <c r="O7" s="2">
        <v>125852</v>
      </c>
      <c r="P7" s="2">
        <f>+O7/$O$3*12</f>
        <v>167802.66666666666</v>
      </c>
      <c r="Q7" s="2">
        <v>168717.72</v>
      </c>
      <c r="R7" s="2">
        <v>172535</v>
      </c>
      <c r="S7" s="2">
        <v>172535</v>
      </c>
      <c r="T7" s="2">
        <v>172535</v>
      </c>
      <c r="U7" s="89">
        <f>(T7-Q7)/Q7</f>
        <v>0.022625246476777893</v>
      </c>
      <c r="V7" t="s">
        <v>372</v>
      </c>
    </row>
    <row r="8" spans="1:23" ht="12.75">
      <c r="A8" t="s">
        <v>617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2"/>
      <c r="T8" s="2"/>
      <c r="U8" s="89" t="e">
        <f>(T8-Q8)/Q8</f>
        <v>#DIV/0!</v>
      </c>
      <c r="W8" s="161"/>
    </row>
    <row r="9" spans="1:22" ht="12.75">
      <c r="A9" t="s">
        <v>490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18292</v>
      </c>
      <c r="N9" s="2">
        <v>20862</v>
      </c>
      <c r="O9" s="2">
        <v>18003</v>
      </c>
      <c r="P9" s="2">
        <f>+O9/$O$3*12</f>
        <v>24004</v>
      </c>
      <c r="Q9" s="31">
        <v>24800</v>
      </c>
      <c r="R9" s="31">
        <f>5351*5</f>
        <v>26755</v>
      </c>
      <c r="S9" s="31">
        <f>5351*5</f>
        <v>26755</v>
      </c>
      <c r="T9" s="31">
        <f>5351*5</f>
        <v>26755</v>
      </c>
      <c r="U9" s="89">
        <f>(T9-Q9)/Q9</f>
        <v>0.07883064516129032</v>
      </c>
      <c r="V9" t="s">
        <v>510</v>
      </c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1005</v>
      </c>
    </row>
    <row r="11" spans="1:21" ht="12.75">
      <c r="A11" t="s">
        <v>141</v>
      </c>
      <c r="B11" s="4">
        <v>51.22</v>
      </c>
      <c r="C11" s="2">
        <v>8785</v>
      </c>
      <c r="D11" s="2">
        <v>9535</v>
      </c>
      <c r="E11" s="2">
        <v>10222</v>
      </c>
      <c r="F11" s="2">
        <v>11658</v>
      </c>
      <c r="G11" s="2">
        <v>11910</v>
      </c>
      <c r="H11" s="2">
        <v>12562</v>
      </c>
      <c r="I11" s="2">
        <v>14740</v>
      </c>
      <c r="J11" s="2">
        <v>14183</v>
      </c>
      <c r="K11" s="2">
        <v>15243</v>
      </c>
      <c r="L11" s="2">
        <v>16344.22</v>
      </c>
      <c r="M11" s="2">
        <v>13479</v>
      </c>
      <c r="N11" s="2">
        <v>13074</v>
      </c>
      <c r="O11" s="2">
        <v>9126</v>
      </c>
      <c r="P11" s="2">
        <f>+O11/$O$3*12</f>
        <v>12168</v>
      </c>
      <c r="Q11" s="2">
        <f>(Q7+Q8)*0.0765</f>
        <v>12906.90558</v>
      </c>
      <c r="R11" s="2">
        <f>R7*0.0765</f>
        <v>13198.9275</v>
      </c>
      <c r="S11" s="2">
        <f>S7*0.0765</f>
        <v>13198.9275</v>
      </c>
      <c r="T11" s="2">
        <f>T7*0.0765</f>
        <v>13198.9275</v>
      </c>
      <c r="U11" s="89">
        <f>(T11-Q11)/Q11</f>
        <v>0.022625246476777838</v>
      </c>
    </row>
    <row r="12" spans="1:21" ht="12.75">
      <c r="A12" t="s">
        <v>212</v>
      </c>
      <c r="B12" s="4">
        <v>51.24</v>
      </c>
      <c r="C12" s="2">
        <v>2668</v>
      </c>
      <c r="D12" s="2">
        <v>2682</v>
      </c>
      <c r="E12" s="2">
        <v>2803</v>
      </c>
      <c r="F12" s="2">
        <v>3188</v>
      </c>
      <c r="G12" s="2">
        <v>3262</v>
      </c>
      <c r="H12" s="2">
        <v>3298</v>
      </c>
      <c r="I12" s="2">
        <v>3863</v>
      </c>
      <c r="J12" s="2">
        <v>4334</v>
      </c>
      <c r="K12" s="2">
        <v>4722</v>
      </c>
      <c r="L12" s="2">
        <v>4926</v>
      </c>
      <c r="M12" s="2">
        <v>1569</v>
      </c>
      <c r="N12" s="2">
        <v>1654</v>
      </c>
      <c r="O12" s="2">
        <v>1821</v>
      </c>
      <c r="P12" s="2">
        <f>+O12/$O$3*12</f>
        <v>2428</v>
      </c>
      <c r="Q12" s="20">
        <v>1600</v>
      </c>
      <c r="R12" s="2">
        <v>3500</v>
      </c>
      <c r="S12" s="20">
        <v>3500</v>
      </c>
      <c r="T12" s="20">
        <v>3500</v>
      </c>
      <c r="U12" s="89">
        <f>(T12-Q12)/Q12</f>
        <v>1.1875</v>
      </c>
    </row>
    <row r="13" spans="1:21" ht="12.75">
      <c r="A13" t="s">
        <v>1018</v>
      </c>
      <c r="B13" s="4">
        <v>51.27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1210</v>
      </c>
      <c r="P13" s="2">
        <v>1210</v>
      </c>
      <c r="Q13" s="2">
        <v>1210</v>
      </c>
      <c r="R13" s="2">
        <v>1300</v>
      </c>
      <c r="S13" s="2">
        <v>1300</v>
      </c>
      <c r="T13" s="2">
        <v>1300</v>
      </c>
      <c r="U13" s="89"/>
    </row>
    <row r="14" spans="1:22" ht="12.75">
      <c r="A14" t="s">
        <v>154</v>
      </c>
      <c r="B14" s="4"/>
      <c r="C14" s="2"/>
      <c r="D14" s="2"/>
      <c r="E14" s="2"/>
      <c r="F14" s="2"/>
      <c r="G14" s="2"/>
      <c r="H14" s="2"/>
      <c r="I14" s="2"/>
      <c r="J14" s="2">
        <v>570</v>
      </c>
      <c r="K14" s="2">
        <v>121</v>
      </c>
      <c r="L14" s="2"/>
      <c r="M14" s="2"/>
      <c r="N14" s="2"/>
      <c r="O14" s="2"/>
      <c r="P14" s="2"/>
      <c r="Q14" s="20"/>
      <c r="R14" s="2"/>
      <c r="S14" s="20"/>
      <c r="T14" s="20"/>
      <c r="U14" s="89"/>
      <c r="V14" s="18"/>
    </row>
    <row r="15" spans="2:22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/>
      <c r="V15" s="18"/>
    </row>
    <row r="16" spans="1:22" ht="12.75">
      <c r="A16" t="s">
        <v>727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2549</v>
      </c>
      <c r="N16" s="2"/>
      <c r="O16" s="2"/>
      <c r="P16" s="2"/>
      <c r="Q16" s="20"/>
      <c r="R16" s="2"/>
      <c r="S16" s="20"/>
      <c r="T16" s="20"/>
      <c r="U16" s="89"/>
      <c r="V16" s="18"/>
    </row>
    <row r="17" spans="1:22" ht="12.75">
      <c r="A17" t="s">
        <v>1084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12890</v>
      </c>
      <c r="P17" s="2">
        <v>15000</v>
      </c>
      <c r="Q17" s="20"/>
      <c r="R17" s="2"/>
      <c r="S17" s="20"/>
      <c r="T17" s="20"/>
      <c r="U17" s="89"/>
      <c r="V17" s="18"/>
    </row>
    <row r="18" spans="1:22" ht="12.75">
      <c r="A18" t="s">
        <v>100</v>
      </c>
      <c r="B18" s="4">
        <v>52.1252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998</v>
      </c>
      <c r="N18" s="2"/>
      <c r="O18" s="2"/>
      <c r="P18" s="2"/>
      <c r="Q18" s="20"/>
      <c r="R18" s="2"/>
      <c r="S18" s="20"/>
      <c r="T18" s="20"/>
      <c r="U18" s="89"/>
      <c r="V18" s="18"/>
    </row>
    <row r="19" spans="1:22" ht="12.75" hidden="1">
      <c r="A19" t="s">
        <v>207</v>
      </c>
      <c r="B19" s="4">
        <v>52.121</v>
      </c>
      <c r="C19" s="2"/>
      <c r="D19" s="2"/>
      <c r="E19" s="2"/>
      <c r="F19" s="2"/>
      <c r="G19" s="2"/>
      <c r="H19" s="2"/>
      <c r="I19" s="2">
        <f>95+134</f>
        <v>229</v>
      </c>
      <c r="J19" s="2">
        <v>747</v>
      </c>
      <c r="K19" s="2">
        <v>157</v>
      </c>
      <c r="L19" s="2"/>
      <c r="M19" s="2"/>
      <c r="N19" s="2"/>
      <c r="O19" s="2"/>
      <c r="P19" s="2">
        <f>+O19/$O$3*12</f>
        <v>0</v>
      </c>
      <c r="Q19" s="20"/>
      <c r="R19" s="2"/>
      <c r="S19" s="20"/>
      <c r="T19" s="20"/>
      <c r="U19" s="89"/>
      <c r="V19" s="18"/>
    </row>
    <row r="20" spans="1:22" ht="12.75">
      <c r="A20" t="s">
        <v>618</v>
      </c>
      <c r="B20" s="4">
        <v>52.1315</v>
      </c>
      <c r="C20" s="2"/>
      <c r="D20" s="2"/>
      <c r="E20" s="2">
        <v>1976</v>
      </c>
      <c r="F20" s="2">
        <v>2756</v>
      </c>
      <c r="G20" s="2">
        <v>2755</v>
      </c>
      <c r="H20" s="2">
        <v>2350</v>
      </c>
      <c r="I20" s="2">
        <v>2838</v>
      </c>
      <c r="J20" s="2">
        <v>2033</v>
      </c>
      <c r="K20" s="2">
        <v>4772</v>
      </c>
      <c r="L20" s="2">
        <v>2768</v>
      </c>
      <c r="M20" s="2">
        <v>3120</v>
      </c>
      <c r="N20" s="2">
        <v>3300</v>
      </c>
      <c r="O20" s="2">
        <v>2400</v>
      </c>
      <c r="P20" s="2">
        <f>+O20/$O$3*12</f>
        <v>3200</v>
      </c>
      <c r="Q20" s="2">
        <v>2500</v>
      </c>
      <c r="R20" s="2">
        <v>2500</v>
      </c>
      <c r="S20" s="2">
        <v>2500</v>
      </c>
      <c r="T20" s="2">
        <v>2500</v>
      </c>
      <c r="U20" s="89">
        <f>(T20-Q20)/Q20</f>
        <v>0</v>
      </c>
      <c r="V20" s="2"/>
    </row>
    <row r="21" spans="1:21" ht="12.75">
      <c r="A21" t="s">
        <v>1075</v>
      </c>
      <c r="B21" s="4">
        <v>52.1316</v>
      </c>
      <c r="C21" s="2">
        <v>6133</v>
      </c>
      <c r="D21" s="2">
        <v>5869</v>
      </c>
      <c r="E21" s="2">
        <v>2355</v>
      </c>
      <c r="F21" s="2">
        <v>1478</v>
      </c>
      <c r="G21" s="2">
        <v>1592</v>
      </c>
      <c r="H21" s="2">
        <v>2614</v>
      </c>
      <c r="I21" s="2">
        <v>2445</v>
      </c>
      <c r="J21" s="2">
        <v>2687</v>
      </c>
      <c r="K21" s="2">
        <v>1386</v>
      </c>
      <c r="L21" s="2">
        <v>1546</v>
      </c>
      <c r="M21" s="2">
        <v>2063</v>
      </c>
      <c r="N21" s="2">
        <v>1606</v>
      </c>
      <c r="O21" s="2">
        <v>828</v>
      </c>
      <c r="P21" s="2">
        <f>+O21/$O$3*12</f>
        <v>1104</v>
      </c>
      <c r="Q21" s="2">
        <v>1500</v>
      </c>
      <c r="R21" s="2">
        <v>2100</v>
      </c>
      <c r="S21" s="2">
        <v>1500</v>
      </c>
      <c r="T21" s="2">
        <v>1500</v>
      </c>
      <c r="U21" s="89">
        <f>(T21-Q21)/Q21</f>
        <v>0</v>
      </c>
    </row>
    <row r="22" spans="1:22" ht="12.75">
      <c r="A22" t="s">
        <v>94</v>
      </c>
      <c r="B22" s="4">
        <v>52.133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1375</v>
      </c>
      <c r="O22" s="2"/>
      <c r="P22" s="2"/>
      <c r="Q22" s="2"/>
      <c r="R22" s="2"/>
      <c r="S22" s="2"/>
      <c r="T22" s="2"/>
      <c r="U22" s="89"/>
      <c r="V22" s="20" t="s">
        <v>575</v>
      </c>
    </row>
    <row r="23" spans="1:21" ht="12.75">
      <c r="A23" t="s">
        <v>1076</v>
      </c>
      <c r="B23" s="4">
        <v>52.2202</v>
      </c>
      <c r="C23" s="2"/>
      <c r="D23" s="2"/>
      <c r="E23" s="2">
        <v>223</v>
      </c>
      <c r="F23" s="2">
        <v>1146</v>
      </c>
      <c r="G23" s="2">
        <v>782</v>
      </c>
      <c r="H23" s="2">
        <v>960</v>
      </c>
      <c r="I23" s="2">
        <v>944</v>
      </c>
      <c r="J23" s="2">
        <f>1048+315</f>
        <v>1363</v>
      </c>
      <c r="K23" s="2">
        <v>1943</v>
      </c>
      <c r="L23" s="2">
        <v>2993</v>
      </c>
      <c r="M23" s="2">
        <v>1200</v>
      </c>
      <c r="N23" s="2">
        <v>1200</v>
      </c>
      <c r="O23" s="2">
        <v>1200</v>
      </c>
      <c r="P23" s="2">
        <v>1200</v>
      </c>
      <c r="Q23" s="2">
        <v>1200</v>
      </c>
      <c r="R23" s="2">
        <v>1200</v>
      </c>
      <c r="S23" s="2">
        <v>1200</v>
      </c>
      <c r="T23" s="2">
        <v>1200</v>
      </c>
      <c r="U23" s="89">
        <f>(T23-Q23)/Q23</f>
        <v>0</v>
      </c>
    </row>
    <row r="24" spans="1:21" ht="12.75">
      <c r="A24" t="s">
        <v>918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/>
    </row>
    <row r="25" spans="1:22" ht="12.75">
      <c r="A25" t="s">
        <v>961</v>
      </c>
      <c r="B25" s="4">
        <v>52.1332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0</v>
      </c>
      <c r="N25" s="2"/>
      <c r="O25" s="2"/>
      <c r="P25" s="2"/>
      <c r="Q25" s="2"/>
      <c r="R25" s="2"/>
      <c r="S25" s="2"/>
      <c r="T25" s="2"/>
      <c r="U25" s="89"/>
      <c r="V25" s="20"/>
    </row>
    <row r="26" spans="1:22" ht="12.75">
      <c r="A26" t="s">
        <v>732</v>
      </c>
      <c r="B26" s="4">
        <v>52.2312</v>
      </c>
      <c r="C26" s="2"/>
      <c r="D26" s="2"/>
      <c r="E26" s="2"/>
      <c r="F26" s="2"/>
      <c r="G26" s="2"/>
      <c r="H26" s="2"/>
      <c r="I26" s="2"/>
      <c r="J26" s="2">
        <v>400</v>
      </c>
      <c r="K26" s="2">
        <v>1300</v>
      </c>
      <c r="L26" s="2"/>
      <c r="M26" s="2">
        <v>1100</v>
      </c>
      <c r="N26" s="2">
        <v>1201</v>
      </c>
      <c r="O26" s="2">
        <v>1009</v>
      </c>
      <c r="P26" s="2">
        <v>1200</v>
      </c>
      <c r="Q26" s="2">
        <v>1200</v>
      </c>
      <c r="R26" s="2">
        <v>1320</v>
      </c>
      <c r="S26" s="2">
        <v>1320</v>
      </c>
      <c r="T26" s="2">
        <v>1320</v>
      </c>
      <c r="U26" s="89"/>
      <c r="V26" s="20"/>
    </row>
    <row r="27" spans="1:21" ht="12.75">
      <c r="A27" t="s">
        <v>143</v>
      </c>
      <c r="B27" s="4">
        <v>52.32</v>
      </c>
      <c r="C27" s="2">
        <v>2889</v>
      </c>
      <c r="D27" s="2">
        <v>2671</v>
      </c>
      <c r="E27" s="2">
        <v>2414</v>
      </c>
      <c r="F27" s="2">
        <v>3021</v>
      </c>
      <c r="G27" s="2">
        <v>2284</v>
      </c>
      <c r="H27" s="2">
        <v>2401</v>
      </c>
      <c r="I27" s="2">
        <v>4100</v>
      </c>
      <c r="J27" s="2">
        <v>4470</v>
      </c>
      <c r="K27" s="2">
        <v>3356</v>
      </c>
      <c r="L27" s="2">
        <v>3684</v>
      </c>
      <c r="M27" s="2">
        <v>3283</v>
      </c>
      <c r="N27" s="2">
        <v>3366</v>
      </c>
      <c r="O27" s="2">
        <v>2399</v>
      </c>
      <c r="P27" s="2">
        <f>+O27/$O$3*12</f>
        <v>3198.6666666666665</v>
      </c>
      <c r="Q27" s="2">
        <v>2900</v>
      </c>
      <c r="R27" s="2">
        <v>3300</v>
      </c>
      <c r="S27" s="2">
        <v>3300</v>
      </c>
      <c r="T27" s="2">
        <v>3300</v>
      </c>
      <c r="U27" s="89">
        <f>(T27-Q27)/Q27</f>
        <v>0.13793103448275862</v>
      </c>
    </row>
    <row r="28" spans="1:21" ht="12.75">
      <c r="A28" t="s">
        <v>144</v>
      </c>
      <c r="B28" s="4">
        <v>52.321</v>
      </c>
      <c r="C28" s="2">
        <v>2929</v>
      </c>
      <c r="D28" s="2">
        <v>2132</v>
      </c>
      <c r="E28" s="2">
        <v>2027</v>
      </c>
      <c r="F28" s="2">
        <v>2074</v>
      </c>
      <c r="G28" s="2">
        <v>2499</v>
      </c>
      <c r="H28" s="2">
        <v>2551</v>
      </c>
      <c r="I28" s="2">
        <v>2495</v>
      </c>
      <c r="J28" s="2">
        <v>2848</v>
      </c>
      <c r="K28" s="2">
        <f>3120+127</f>
        <v>3247</v>
      </c>
      <c r="L28" s="2">
        <f>2954+319</f>
        <v>3273</v>
      </c>
      <c r="M28" s="2">
        <v>3092</v>
      </c>
      <c r="N28" s="2">
        <v>2850</v>
      </c>
      <c r="O28" s="2">
        <v>3020</v>
      </c>
      <c r="P28" s="2">
        <f>+O28/$O$3*12</f>
        <v>4026.6666666666665</v>
      </c>
      <c r="Q28" s="2">
        <v>3500</v>
      </c>
      <c r="R28" s="2">
        <v>4000</v>
      </c>
      <c r="S28" s="2">
        <v>3500</v>
      </c>
      <c r="T28" s="2">
        <v>3500</v>
      </c>
      <c r="U28" s="89">
        <f>(T28-Q28)/Q28</f>
        <v>0</v>
      </c>
    </row>
    <row r="29" spans="1:21" ht="12.75" hidden="1">
      <c r="A29" t="s">
        <v>917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/>
    </row>
    <row r="30" spans="1:21" ht="12.75">
      <c r="A30" t="s">
        <v>165</v>
      </c>
      <c r="B30" s="4">
        <v>52.33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652</v>
      </c>
      <c r="O30" s="2">
        <v>137</v>
      </c>
      <c r="P30" s="2">
        <v>400</v>
      </c>
      <c r="Q30" s="2"/>
      <c r="R30" s="2">
        <v>250</v>
      </c>
      <c r="S30" s="2">
        <v>250</v>
      </c>
      <c r="T30" s="2">
        <v>250</v>
      </c>
      <c r="U30" s="89"/>
    </row>
    <row r="31" spans="1:21" ht="12.75">
      <c r="A31" t="s">
        <v>156</v>
      </c>
      <c r="B31" s="4">
        <v>52.35</v>
      </c>
      <c r="C31" s="2">
        <v>1300</v>
      </c>
      <c r="D31" s="2">
        <v>1698</v>
      </c>
      <c r="E31" s="2">
        <v>1635</v>
      </c>
      <c r="F31" s="2">
        <v>1716</v>
      </c>
      <c r="G31" s="2">
        <v>1819</v>
      </c>
      <c r="H31" s="2">
        <v>1667</v>
      </c>
      <c r="I31" s="2">
        <v>2456</v>
      </c>
      <c r="J31" s="2">
        <v>2002</v>
      </c>
      <c r="K31" s="2">
        <v>2105</v>
      </c>
      <c r="L31" s="2">
        <v>2208</v>
      </c>
      <c r="M31" s="2">
        <v>1514</v>
      </c>
      <c r="N31" s="2">
        <v>574</v>
      </c>
      <c r="O31" s="2">
        <v>1933</v>
      </c>
      <c r="P31" s="2">
        <v>2000</v>
      </c>
      <c r="Q31" s="2">
        <v>1500</v>
      </c>
      <c r="R31" s="2">
        <v>2000</v>
      </c>
      <c r="S31" s="2">
        <v>1500</v>
      </c>
      <c r="T31" s="2">
        <v>1500</v>
      </c>
      <c r="U31" s="89">
        <f>(T31-Q31)/Q31</f>
        <v>0</v>
      </c>
    </row>
    <row r="32" spans="1:21" ht="12.75">
      <c r="A32" t="s">
        <v>213</v>
      </c>
      <c r="B32" s="4">
        <v>52.3602</v>
      </c>
      <c r="C32" s="2">
        <v>550</v>
      </c>
      <c r="D32" s="2">
        <v>375</v>
      </c>
      <c r="E32" s="2">
        <v>380</v>
      </c>
      <c r="F32" s="2">
        <v>415</v>
      </c>
      <c r="G32" s="2">
        <v>415</v>
      </c>
      <c r="H32" s="2">
        <v>250</v>
      </c>
      <c r="I32" s="2">
        <v>330</v>
      </c>
      <c r="J32" s="2">
        <v>350</v>
      </c>
      <c r="K32" s="2">
        <v>350</v>
      </c>
      <c r="L32" s="2">
        <v>350</v>
      </c>
      <c r="M32" s="2">
        <v>100</v>
      </c>
      <c r="N32" s="2">
        <v>350</v>
      </c>
      <c r="O32" s="2">
        <v>650</v>
      </c>
      <c r="P32" s="2">
        <v>650</v>
      </c>
      <c r="Q32" s="2">
        <v>350</v>
      </c>
      <c r="R32" s="20">
        <v>1000</v>
      </c>
      <c r="S32" s="2">
        <v>350</v>
      </c>
      <c r="T32" s="2">
        <v>350</v>
      </c>
      <c r="U32" s="89">
        <f>(T32-Q32)/Q32</f>
        <v>0</v>
      </c>
    </row>
    <row r="33" spans="1:21" ht="12.75">
      <c r="A33" t="s">
        <v>731</v>
      </c>
      <c r="B33" s="4">
        <v>52.37</v>
      </c>
      <c r="C33" s="2"/>
      <c r="D33" s="2"/>
      <c r="E33" s="2"/>
      <c r="F33" s="2"/>
      <c r="G33" s="2"/>
      <c r="H33" s="2"/>
      <c r="I33" s="2"/>
      <c r="J33" s="2"/>
      <c r="K33" s="2">
        <v>300</v>
      </c>
      <c r="L33" s="2">
        <v>300</v>
      </c>
      <c r="M33" s="2">
        <v>35</v>
      </c>
      <c r="N33" s="2"/>
      <c r="O33" s="2"/>
      <c r="P33" s="2">
        <v>300</v>
      </c>
      <c r="Q33" s="2">
        <v>300</v>
      </c>
      <c r="R33" s="2">
        <v>300</v>
      </c>
      <c r="S33" s="2">
        <v>300</v>
      </c>
      <c r="T33" s="2">
        <v>300</v>
      </c>
      <c r="U33" s="89"/>
    </row>
    <row r="34" spans="1:22" ht="12.75">
      <c r="A34" t="s">
        <v>919</v>
      </c>
      <c r="B34" s="4">
        <v>52.3912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1426</v>
      </c>
      <c r="P34" s="2">
        <v>2500</v>
      </c>
      <c r="Q34" s="2">
        <v>2500</v>
      </c>
      <c r="R34" s="2">
        <v>2500</v>
      </c>
      <c r="S34" s="2">
        <v>2500</v>
      </c>
      <c r="T34" s="2">
        <v>2500</v>
      </c>
      <c r="U34" s="51"/>
      <c r="V34" t="s">
        <v>511</v>
      </c>
    </row>
    <row r="35" spans="1:22" ht="12.75">
      <c r="A35" t="s">
        <v>151</v>
      </c>
      <c r="B35" s="4">
        <v>53.171</v>
      </c>
      <c r="C35" s="2">
        <v>13174</v>
      </c>
      <c r="D35" s="2">
        <v>10837</v>
      </c>
      <c r="E35" s="2">
        <v>9536</v>
      </c>
      <c r="F35" s="2">
        <v>9916</v>
      </c>
      <c r="G35" s="2">
        <v>14151</v>
      </c>
      <c r="H35" s="2">
        <v>13161</v>
      </c>
      <c r="I35" s="2">
        <v>14175</v>
      </c>
      <c r="J35" s="2">
        <v>13126</v>
      </c>
      <c r="K35" s="2">
        <v>14274</v>
      </c>
      <c r="L35" s="2">
        <f>9986+2176</f>
        <v>12162</v>
      </c>
      <c r="M35" s="2">
        <v>15611</v>
      </c>
      <c r="N35" s="2">
        <v>16002</v>
      </c>
      <c r="O35" s="2">
        <v>8061</v>
      </c>
      <c r="P35" s="2">
        <f>+O35/$O$3*12</f>
        <v>10748</v>
      </c>
      <c r="Q35" s="2">
        <v>13350</v>
      </c>
      <c r="R35" s="2">
        <v>14000</v>
      </c>
      <c r="S35" s="2">
        <v>13350</v>
      </c>
      <c r="T35" s="2">
        <v>11000</v>
      </c>
      <c r="U35" s="89">
        <f>(T35-Q35)/Q35</f>
        <v>-0.1760299625468165</v>
      </c>
      <c r="V35" s="2"/>
    </row>
    <row r="36" spans="1:22" ht="12.75">
      <c r="A36" t="s">
        <v>570</v>
      </c>
      <c r="B36" s="4">
        <v>53.16</v>
      </c>
      <c r="C36" s="2"/>
      <c r="D36" s="2"/>
      <c r="E36" s="2"/>
      <c r="F36" s="2"/>
      <c r="G36" s="2"/>
      <c r="H36" s="2">
        <v>1500</v>
      </c>
      <c r="I36" s="2"/>
      <c r="J36" s="2"/>
      <c r="K36" s="2">
        <v>5348</v>
      </c>
      <c r="L36" s="2"/>
      <c r="M36" s="2"/>
      <c r="N36" s="2"/>
      <c r="O36" s="2"/>
      <c r="P36" s="2"/>
      <c r="Q36" s="2"/>
      <c r="R36" s="2"/>
      <c r="S36" s="2"/>
      <c r="T36" s="2"/>
      <c r="U36" s="89"/>
      <c r="V36" s="20"/>
    </row>
    <row r="37" spans="1:22" ht="12.75">
      <c r="A37" t="s">
        <v>897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>
        <v>292</v>
      </c>
      <c r="M37" s="2"/>
      <c r="N37" s="2"/>
      <c r="O37" s="2"/>
      <c r="P37" s="2"/>
      <c r="Q37" s="2"/>
      <c r="R37" s="2">
        <v>300</v>
      </c>
      <c r="S37" s="2"/>
      <c r="T37" s="2"/>
      <c r="U37" s="89"/>
      <c r="V37" s="20" t="s">
        <v>579</v>
      </c>
    </row>
    <row r="38" spans="1:22" ht="12.75">
      <c r="A38" t="s">
        <v>1077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20000</v>
      </c>
      <c r="Q38" s="2"/>
      <c r="R38" s="2"/>
      <c r="S38" s="2"/>
      <c r="T38" s="2"/>
      <c r="U38" s="89"/>
      <c r="V38" s="20"/>
    </row>
    <row r="39" spans="1:22" ht="12.75">
      <c r="A39" t="s">
        <v>101</v>
      </c>
      <c r="B39" s="4">
        <v>53.1745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635</v>
      </c>
      <c r="N39" s="2"/>
      <c r="O39" s="2"/>
      <c r="P39" s="2">
        <v>6500</v>
      </c>
      <c r="Q39" s="2">
        <v>6500</v>
      </c>
      <c r="R39" s="2">
        <v>9630</v>
      </c>
      <c r="S39" s="2">
        <v>9630</v>
      </c>
      <c r="T39" s="2">
        <v>9630</v>
      </c>
      <c r="U39" s="51"/>
      <c r="V39" t="s">
        <v>588</v>
      </c>
    </row>
    <row r="40" spans="1:21" ht="12.75">
      <c r="A40" t="s">
        <v>557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1020</v>
      </c>
      <c r="N40" s="2"/>
      <c r="O40" s="2"/>
      <c r="P40" s="2"/>
      <c r="Q40" s="2"/>
      <c r="R40" s="2"/>
      <c r="S40" s="2"/>
      <c r="T40" s="2"/>
      <c r="U40" s="51"/>
    </row>
    <row r="41" spans="1:21" ht="12.75">
      <c r="A41" t="s">
        <v>102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1295</v>
      </c>
      <c r="N41" s="2"/>
      <c r="O41" s="2"/>
      <c r="P41" s="2"/>
      <c r="Q41" s="2"/>
      <c r="R41" s="2"/>
      <c r="S41" s="2"/>
      <c r="T41" s="2"/>
      <c r="U41" s="51"/>
    </row>
    <row r="42" spans="1:21" ht="12.75">
      <c r="A42" t="s">
        <v>166</v>
      </c>
      <c r="B42" s="4">
        <v>54.23</v>
      </c>
      <c r="C42" s="2"/>
      <c r="D42" s="2"/>
      <c r="E42" s="2"/>
      <c r="F42" s="2"/>
      <c r="G42" s="2"/>
      <c r="H42" s="2"/>
      <c r="I42" s="2">
        <v>670</v>
      </c>
      <c r="J42" s="2"/>
      <c r="K42" s="2"/>
      <c r="L42" s="2"/>
      <c r="M42" s="2"/>
      <c r="N42" s="2">
        <v>2500</v>
      </c>
      <c r="O42" s="2"/>
      <c r="P42" s="2"/>
      <c r="Q42" s="2"/>
      <c r="R42" s="2"/>
      <c r="S42" s="2"/>
      <c r="T42" s="2"/>
      <c r="U42" s="51"/>
    </row>
    <row r="43" spans="1:22" ht="12.75">
      <c r="A43" t="s">
        <v>166</v>
      </c>
      <c r="B43" s="4">
        <v>54.25</v>
      </c>
      <c r="C43" s="5"/>
      <c r="D43" s="5"/>
      <c r="E43" s="5"/>
      <c r="F43" s="2">
        <v>240</v>
      </c>
      <c r="G43" s="2">
        <v>699</v>
      </c>
      <c r="H43" s="2">
        <v>1010</v>
      </c>
      <c r="I43" s="2">
        <v>11384</v>
      </c>
      <c r="J43" s="2">
        <v>9557</v>
      </c>
      <c r="K43" s="2"/>
      <c r="L43" s="2"/>
      <c r="M43" s="2"/>
      <c r="N43" s="2"/>
      <c r="O43" s="2"/>
      <c r="P43" s="2"/>
      <c r="Q43" s="2"/>
      <c r="R43" s="20"/>
      <c r="S43" s="2"/>
      <c r="T43" s="2"/>
      <c r="U43" s="51"/>
      <c r="V43" s="33"/>
    </row>
    <row r="44" spans="1:21" ht="12.75">
      <c r="A44" t="s">
        <v>320</v>
      </c>
      <c r="B44" s="4" t="s">
        <v>120</v>
      </c>
      <c r="C44" s="5">
        <v>695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"/>
      <c r="Q44" s="2"/>
      <c r="R44" s="5"/>
      <c r="S44" s="2"/>
      <c r="T44" s="2"/>
      <c r="U44" s="51"/>
    </row>
    <row r="45" spans="1:22" ht="12.75">
      <c r="A45" t="s">
        <v>960</v>
      </c>
      <c r="B45" s="4">
        <v>54.23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2985</v>
      </c>
      <c r="P45" s="2">
        <v>2985</v>
      </c>
      <c r="Q45" s="2">
        <v>3000</v>
      </c>
      <c r="R45" s="2"/>
      <c r="S45" s="2"/>
      <c r="T45" s="2"/>
      <c r="U45" s="51"/>
      <c r="V45" t="s">
        <v>588</v>
      </c>
    </row>
    <row r="46" spans="1:21" ht="12.75">
      <c r="A46" t="s">
        <v>380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1"/>
    </row>
    <row r="47" spans="1:21" ht="12.75">
      <c r="A47" s="6" t="s">
        <v>119</v>
      </c>
      <c r="B47" s="6"/>
      <c r="C47" s="8">
        <f aca="true" t="shared" si="0" ref="C47:I47">SUM(C7:C46)</f>
        <v>173152</v>
      </c>
      <c r="D47" s="8">
        <f t="shared" si="0"/>
        <v>177817</v>
      </c>
      <c r="E47" s="8">
        <f t="shared" si="0"/>
        <v>186967</v>
      </c>
      <c r="F47" s="8">
        <f t="shared" si="0"/>
        <v>207253</v>
      </c>
      <c r="G47" s="8">
        <f t="shared" si="0"/>
        <v>218027</v>
      </c>
      <c r="H47" s="8">
        <f t="shared" si="0"/>
        <v>231072</v>
      </c>
      <c r="I47" s="8">
        <f t="shared" si="0"/>
        <v>278540</v>
      </c>
      <c r="J47" s="8">
        <v>270720</v>
      </c>
      <c r="K47" s="8">
        <f aca="true" t="shared" si="1" ref="K47:T47">SUM(K7:K46)</f>
        <v>286151</v>
      </c>
      <c r="L47" s="8">
        <v>295695</v>
      </c>
      <c r="M47" s="8">
        <v>259486</v>
      </c>
      <c r="N47" s="8">
        <v>250698</v>
      </c>
      <c r="O47" s="8">
        <f t="shared" si="1"/>
        <v>194950</v>
      </c>
      <c r="P47" s="8">
        <f t="shared" si="1"/>
        <v>282625</v>
      </c>
      <c r="Q47" s="8">
        <f t="shared" si="1"/>
        <v>249534.62558</v>
      </c>
      <c r="R47" s="8">
        <f t="shared" si="1"/>
        <v>262888.9275</v>
      </c>
      <c r="S47" s="8">
        <f t="shared" si="1"/>
        <v>259688.9275</v>
      </c>
      <c r="T47" s="8">
        <f t="shared" si="1"/>
        <v>257338.9275</v>
      </c>
      <c r="U47" s="52">
        <f>(T47-Q47)/Q47</f>
        <v>0.031275426814456116</v>
      </c>
    </row>
    <row r="48" spans="3:20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</row>
    <row r="49" spans="3:20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2" t="s">
        <v>484</v>
      </c>
      <c r="R49" s="22"/>
      <c r="S49" s="55">
        <f>R47-S47</f>
        <v>3200</v>
      </c>
      <c r="T49" s="2"/>
    </row>
    <row r="50" spans="17:19" ht="12.75">
      <c r="Q50" s="22" t="s">
        <v>725</v>
      </c>
      <c r="R50" s="22"/>
      <c r="S50" s="55">
        <f>Q47-S47</f>
        <v>-10154.301919999998</v>
      </c>
    </row>
    <row r="51" spans="17:19" ht="12.75">
      <c r="Q51" s="22" t="s">
        <v>432</v>
      </c>
      <c r="R51" s="22"/>
      <c r="S51" s="55">
        <f>S47-T47</f>
        <v>2350</v>
      </c>
    </row>
    <row r="53" ht="12.75">
      <c r="A53" s="22" t="s">
        <v>1053</v>
      </c>
    </row>
    <row r="54" ht="12.75">
      <c r="A54" t="s">
        <v>1054</v>
      </c>
    </row>
    <row r="55" ht="12.75">
      <c r="A55" s="33" t="s">
        <v>977</v>
      </c>
    </row>
    <row r="56" ht="12.75">
      <c r="A56" t="s">
        <v>986</v>
      </c>
    </row>
    <row r="57" ht="12.75">
      <c r="A57" t="s">
        <v>1035</v>
      </c>
    </row>
    <row r="58" ht="12.75">
      <c r="A58" s="33" t="s">
        <v>1</v>
      </c>
    </row>
    <row r="59" spans="1:17" ht="12.75">
      <c r="A59" s="22" t="s">
        <v>1101</v>
      </c>
      <c r="Q59" s="5"/>
    </row>
    <row r="62" ht="12.75">
      <c r="Q62" s="5"/>
    </row>
    <row r="63" ht="12.75">
      <c r="Q63" s="5"/>
    </row>
    <row r="64" ht="12.75">
      <c r="Q64" s="5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3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W80"/>
  <sheetViews>
    <sheetView zoomScale="75" zoomScaleNormal="75" workbookViewId="0" topLeftCell="A1">
      <selection activeCell="T9" sqref="T9:T11"/>
    </sheetView>
  </sheetViews>
  <sheetFormatPr defaultColWidth="9.140625" defaultRowHeight="12.75"/>
  <cols>
    <col min="1" max="1" width="34.00390625" style="0" customWidth="1"/>
    <col min="2" max="2" width="7.28125" style="0" customWidth="1"/>
    <col min="3" max="3" width="11.7109375" style="0" hidden="1" customWidth="1"/>
    <col min="4" max="6" width="6.8515625" style="0" hidden="1" customWidth="1"/>
    <col min="7" max="11" width="8.140625" style="0" hidden="1" customWidth="1"/>
    <col min="12" max="14" width="8.140625" style="0" customWidth="1"/>
    <col min="15" max="15" width="6.8515625" style="0" bestFit="1" customWidth="1"/>
    <col min="16" max="16" width="9.28125" style="0" bestFit="1" customWidth="1"/>
    <col min="17" max="17" width="11.57421875" style="0" customWidth="1"/>
    <col min="18" max="18" width="9.28125" style="0" bestFit="1" customWidth="1"/>
    <col min="19" max="19" width="11.7109375" style="0" customWidth="1"/>
    <col min="20" max="20" width="8.140625" style="0" bestFit="1" customWidth="1"/>
    <col min="21" max="21" width="9.57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449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192" t="s">
        <v>1012</v>
      </c>
      <c r="B7" s="110">
        <v>52.22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518</v>
      </c>
      <c r="O7" s="135"/>
      <c r="P7" s="135"/>
      <c r="Q7" s="135"/>
      <c r="R7" s="135"/>
      <c r="S7" s="135"/>
      <c r="T7" s="135"/>
      <c r="U7" s="191"/>
      <c r="V7" s="3"/>
    </row>
    <row r="8" spans="1:21" ht="12.75">
      <c r="A8" t="s">
        <v>485</v>
      </c>
      <c r="B8" s="4">
        <v>52.385</v>
      </c>
      <c r="C8" s="2">
        <v>289</v>
      </c>
      <c r="D8" s="2">
        <v>1270</v>
      </c>
      <c r="E8" s="2">
        <v>83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>
      <c r="A9" t="s">
        <v>150</v>
      </c>
      <c r="B9" s="4">
        <v>53.12</v>
      </c>
      <c r="C9" s="2">
        <v>1923</v>
      </c>
      <c r="D9" s="2">
        <v>1838</v>
      </c>
      <c r="E9" s="2">
        <v>178</v>
      </c>
      <c r="F9" s="2">
        <v>1820</v>
      </c>
      <c r="G9" s="2">
        <v>1727</v>
      </c>
      <c r="H9" s="2">
        <v>1703</v>
      </c>
      <c r="I9" s="2">
        <v>1659</v>
      </c>
      <c r="J9" s="2">
        <v>2915</v>
      </c>
      <c r="K9" s="2">
        <v>3100</v>
      </c>
      <c r="L9" s="2">
        <v>2813</v>
      </c>
      <c r="M9" s="2">
        <v>2584</v>
      </c>
      <c r="N9" s="2">
        <v>3007</v>
      </c>
      <c r="O9" s="2">
        <v>1306</v>
      </c>
      <c r="P9" s="2">
        <v>2500</v>
      </c>
      <c r="Q9" s="2">
        <v>2500</v>
      </c>
      <c r="R9" s="2">
        <v>1900</v>
      </c>
      <c r="S9" s="2">
        <v>2500</v>
      </c>
      <c r="T9" s="2">
        <v>2500</v>
      </c>
      <c r="U9" s="89">
        <f>(T9-Q9)/Q9</f>
        <v>0</v>
      </c>
    </row>
    <row r="10" spans="1:21" ht="12.75">
      <c r="A10" t="s">
        <v>365</v>
      </c>
      <c r="B10" s="4">
        <v>53.13</v>
      </c>
      <c r="C10" s="2"/>
      <c r="D10" s="2"/>
      <c r="E10" s="2">
        <v>1573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2"/>
      <c r="U10" s="89"/>
    </row>
    <row r="11" spans="1:21" ht="12.75">
      <c r="A11" t="s">
        <v>214</v>
      </c>
      <c r="B11" s="4">
        <v>57.106</v>
      </c>
      <c r="C11" s="2">
        <v>4800</v>
      </c>
      <c r="D11" s="2">
        <v>4800</v>
      </c>
      <c r="E11" s="2">
        <v>4800</v>
      </c>
      <c r="F11" s="2">
        <v>4800</v>
      </c>
      <c r="G11" s="2">
        <v>4800</v>
      </c>
      <c r="H11" s="2">
        <v>4800</v>
      </c>
      <c r="I11" s="2">
        <v>4800</v>
      </c>
      <c r="J11" s="2">
        <v>4800</v>
      </c>
      <c r="K11" s="2">
        <v>4800</v>
      </c>
      <c r="L11" s="2">
        <v>7200</v>
      </c>
      <c r="M11" s="2">
        <v>6840</v>
      </c>
      <c r="N11" s="2">
        <v>6840</v>
      </c>
      <c r="O11" s="2">
        <v>3990</v>
      </c>
      <c r="P11" s="2">
        <v>6840</v>
      </c>
      <c r="Q11" s="2">
        <v>6840</v>
      </c>
      <c r="R11" s="2">
        <v>10546</v>
      </c>
      <c r="S11" s="2">
        <v>6840</v>
      </c>
      <c r="T11" s="2">
        <v>6840</v>
      </c>
      <c r="U11" s="89">
        <f>(T11-Q11)/Q11</f>
        <v>0</v>
      </c>
    </row>
    <row r="12" spans="1:21" ht="12.75">
      <c r="A12" t="s">
        <v>321</v>
      </c>
      <c r="B12" s="4" t="s">
        <v>120</v>
      </c>
      <c r="C12" s="2">
        <v>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t="s">
        <v>942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3193</v>
      </c>
      <c r="N13" s="2"/>
      <c r="O13" s="2"/>
      <c r="P13" s="2"/>
      <c r="Q13" s="2"/>
      <c r="R13" s="2"/>
      <c r="S13" s="2"/>
      <c r="T13" s="2"/>
      <c r="U13" s="51"/>
    </row>
    <row r="14" spans="1:21" ht="12.75">
      <c r="A14" t="s">
        <v>201</v>
      </c>
      <c r="B14" s="4" t="s">
        <v>120</v>
      </c>
      <c r="C14" s="2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1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1"/>
    </row>
    <row r="16" spans="1:21" ht="12.75">
      <c r="A16" s="6" t="s">
        <v>119</v>
      </c>
      <c r="B16" s="6"/>
      <c r="C16" s="8">
        <f>SUM(C8:C14)</f>
        <v>7071</v>
      </c>
      <c r="D16" s="8">
        <f>SUM(D8:D14)</f>
        <v>7908</v>
      </c>
      <c r="E16" s="8">
        <f>SUM(E8:E15)</f>
        <v>6634</v>
      </c>
      <c r="F16" s="8">
        <f>SUM(F8:F15)</f>
        <v>6620</v>
      </c>
      <c r="G16" s="8">
        <f>SUM(G8:G15)</f>
        <v>6527</v>
      </c>
      <c r="H16" s="8">
        <f>SUM(H8:H15)</f>
        <v>6503</v>
      </c>
      <c r="I16" s="8">
        <f>SUM(I8:I15)</f>
        <v>6459</v>
      </c>
      <c r="J16" s="8">
        <v>7715</v>
      </c>
      <c r="K16" s="8">
        <f>SUM(K8:K14)</f>
        <v>7900</v>
      </c>
      <c r="L16" s="8">
        <v>10013</v>
      </c>
      <c r="M16" s="8">
        <v>12617</v>
      </c>
      <c r="N16" s="8">
        <v>10365</v>
      </c>
      <c r="O16" s="8">
        <f aca="true" t="shared" si="0" ref="O16:T16">SUM(O7:O14)</f>
        <v>5296</v>
      </c>
      <c r="P16" s="8">
        <f t="shared" si="0"/>
        <v>9340</v>
      </c>
      <c r="Q16" s="8">
        <f t="shared" si="0"/>
        <v>9340</v>
      </c>
      <c r="R16" s="8">
        <f t="shared" si="0"/>
        <v>12446</v>
      </c>
      <c r="S16" s="8">
        <f t="shared" si="0"/>
        <v>9340</v>
      </c>
      <c r="T16" s="8">
        <f t="shared" si="0"/>
        <v>9340</v>
      </c>
      <c r="U16" s="51">
        <f>(T16-Q16)/Q16</f>
        <v>0</v>
      </c>
    </row>
    <row r="17" spans="3:21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51"/>
    </row>
    <row r="18" spans="3:2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2" t="s">
        <v>484</v>
      </c>
      <c r="R18" s="22"/>
      <c r="S18" s="55">
        <f>R16-S16</f>
        <v>3106</v>
      </c>
      <c r="T18" s="2"/>
      <c r="U18" s="51"/>
    </row>
    <row r="19" spans="1:21" ht="12.75">
      <c r="A19" s="6"/>
      <c r="Q19" s="22" t="s">
        <v>725</v>
      </c>
      <c r="R19" s="22"/>
      <c r="S19" s="55">
        <f>Q16-S16</f>
        <v>0</v>
      </c>
      <c r="U19" s="51"/>
    </row>
    <row r="20" spans="17:21" ht="12.75">
      <c r="Q20" s="22" t="s">
        <v>432</v>
      </c>
      <c r="R20" s="22"/>
      <c r="S20" s="55">
        <f>S16-T16</f>
        <v>0</v>
      </c>
      <c r="U20" s="51"/>
    </row>
    <row r="21" ht="12.75">
      <c r="U21" s="51"/>
    </row>
    <row r="22" spans="1:23" ht="12.75">
      <c r="A22" s="6"/>
      <c r="U22" s="51"/>
      <c r="W22" t="s">
        <v>649</v>
      </c>
    </row>
    <row r="23" ht="12.75">
      <c r="U23" s="51"/>
    </row>
    <row r="24" ht="12.75">
      <c r="U24" s="51"/>
    </row>
    <row r="25" ht="12.75">
      <c r="U25" s="51"/>
    </row>
    <row r="26" ht="12.75">
      <c r="U26" s="59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W71"/>
  <sheetViews>
    <sheetView zoomScale="75" zoomScaleNormal="75" workbookViewId="0" topLeftCell="A1">
      <selection activeCell="A9" sqref="A9:IV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11" width="8.7109375" style="0" hidden="1" customWidth="1"/>
    <col min="12" max="14" width="8.7109375" style="0" customWidth="1"/>
    <col min="15" max="15" width="8.28125" style="0" bestFit="1" customWidth="1"/>
    <col min="16" max="16" width="9.7109375" style="0" bestFit="1" customWidth="1"/>
    <col min="17" max="17" width="9.421875" style="0" customWidth="1"/>
    <col min="19" max="19" width="10.7109375" style="0" bestFit="1" customWidth="1"/>
    <col min="20" max="20" width="11.14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7" ht="12.75">
      <c r="A2" t="s">
        <v>110</v>
      </c>
      <c r="P2" s="159"/>
      <c r="Q2" s="159"/>
    </row>
    <row r="3" spans="1:21" ht="12.75">
      <c r="A3" s="6" t="s">
        <v>451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s="22" t="s">
        <v>652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151701</v>
      </c>
      <c r="N7" s="2">
        <v>122409</v>
      </c>
      <c r="O7" s="2">
        <v>82571</v>
      </c>
      <c r="P7" s="2">
        <f>+O7/$O$3*12</f>
        <v>123856.5</v>
      </c>
      <c r="Q7" s="2">
        <v>123572.92</v>
      </c>
      <c r="R7" s="2">
        <v>125601</v>
      </c>
      <c r="S7" s="2">
        <v>125601</v>
      </c>
      <c r="T7" s="2">
        <v>125601</v>
      </c>
      <c r="U7" s="89">
        <f aca="true" t="shared" si="0" ref="U7:U24">(T7-Q7)/Q7</f>
        <v>0.016412010009960124</v>
      </c>
      <c r="V7" s="33" t="s">
        <v>372</v>
      </c>
    </row>
    <row r="8" spans="1:22" ht="12.75">
      <c r="A8" t="s">
        <v>490</v>
      </c>
      <c r="B8" s="4">
        <v>51.21</v>
      </c>
      <c r="C8" s="2">
        <v>6031</v>
      </c>
      <c r="D8" s="2">
        <v>7552</v>
      </c>
      <c r="E8" s="2">
        <v>9559</v>
      </c>
      <c r="F8" s="2">
        <v>8497</v>
      </c>
      <c r="G8" s="2">
        <v>9046</v>
      </c>
      <c r="H8" s="2">
        <v>9442</v>
      </c>
      <c r="I8" s="2">
        <v>9527</v>
      </c>
      <c r="J8" s="2">
        <v>10158</v>
      </c>
      <c r="K8" s="2">
        <v>11990</v>
      </c>
      <c r="L8" s="2">
        <v>12949</v>
      </c>
      <c r="M8" s="2">
        <v>13622</v>
      </c>
      <c r="N8" s="2">
        <v>11375</v>
      </c>
      <c r="O8" s="2">
        <v>9575</v>
      </c>
      <c r="P8" s="2">
        <f>+O8/$O$3*12</f>
        <v>14362.5</v>
      </c>
      <c r="Q8" s="31">
        <v>14880</v>
      </c>
      <c r="R8" s="31">
        <v>16053</v>
      </c>
      <c r="S8" s="31">
        <f>3*5351</f>
        <v>16053</v>
      </c>
      <c r="T8" s="31">
        <f>3*5351</f>
        <v>16053</v>
      </c>
      <c r="U8" s="89">
        <f t="shared" si="0"/>
        <v>0.07883064516129032</v>
      </c>
      <c r="V8" t="s">
        <v>510</v>
      </c>
    </row>
    <row r="9" spans="1:22" s="22" customFormat="1" ht="12.75">
      <c r="A9" s="22" t="s">
        <v>351</v>
      </c>
      <c r="B9" s="48">
        <v>51.211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"/>
      <c r="P9" s="31"/>
      <c r="Q9" s="31"/>
      <c r="R9" s="31">
        <v>2400</v>
      </c>
      <c r="S9" s="31">
        <v>2400</v>
      </c>
      <c r="T9" s="31">
        <v>2400</v>
      </c>
      <c r="U9" s="51"/>
      <c r="V9" s="22" t="s">
        <v>579</v>
      </c>
    </row>
    <row r="10" spans="1:21" ht="12.75">
      <c r="A10" t="s">
        <v>141</v>
      </c>
      <c r="B10" s="4">
        <v>51.22</v>
      </c>
      <c r="C10" s="2">
        <v>5875</v>
      </c>
      <c r="D10" s="2">
        <v>6277</v>
      </c>
      <c r="E10" s="2">
        <v>6586</v>
      </c>
      <c r="F10" s="2">
        <v>7405</v>
      </c>
      <c r="G10" s="2">
        <v>7709</v>
      </c>
      <c r="H10" s="2">
        <v>8174</v>
      </c>
      <c r="I10" s="2">
        <v>8301</v>
      </c>
      <c r="J10" s="2">
        <v>8863</v>
      </c>
      <c r="K10" s="2">
        <v>10082</v>
      </c>
      <c r="L10" s="2">
        <v>10854.12</v>
      </c>
      <c r="M10" s="2">
        <v>11518</v>
      </c>
      <c r="N10" s="2">
        <v>9015</v>
      </c>
      <c r="O10" s="2">
        <v>5912</v>
      </c>
      <c r="P10" s="2">
        <f>+O10/$O$3*12</f>
        <v>8868</v>
      </c>
      <c r="Q10" s="2">
        <f>Q7*0.0765</f>
        <v>9453.328379999999</v>
      </c>
      <c r="R10" s="2">
        <f>R7*0.0765</f>
        <v>9608.4765</v>
      </c>
      <c r="S10" s="2">
        <f>S7*0.0765</f>
        <v>9608.4765</v>
      </c>
      <c r="T10" s="2">
        <f>T7*0.0765</f>
        <v>9608.4765</v>
      </c>
      <c r="U10" s="89">
        <f t="shared" si="0"/>
        <v>0.016412010009960287</v>
      </c>
    </row>
    <row r="11" spans="1:21" ht="12.75">
      <c r="A11" t="s">
        <v>155</v>
      </c>
      <c r="B11" s="4">
        <v>51.24</v>
      </c>
      <c r="C11" s="2">
        <v>724</v>
      </c>
      <c r="D11" s="2">
        <v>879</v>
      </c>
      <c r="E11" s="2">
        <v>1254</v>
      </c>
      <c r="F11" s="2">
        <v>1596</v>
      </c>
      <c r="G11" s="2">
        <v>1779</v>
      </c>
      <c r="H11" s="2">
        <v>1827</v>
      </c>
      <c r="I11" s="2">
        <v>2105</v>
      </c>
      <c r="J11" s="2">
        <v>2311</v>
      </c>
      <c r="K11" s="2">
        <v>2730</v>
      </c>
      <c r="L11" s="2">
        <v>3507</v>
      </c>
      <c r="M11" s="2">
        <v>844</v>
      </c>
      <c r="N11" s="2">
        <v>2112</v>
      </c>
      <c r="O11" s="2">
        <v>768</v>
      </c>
      <c r="P11" s="2">
        <f>+O11/$O$3*12</f>
        <v>1152</v>
      </c>
      <c r="Q11" s="2">
        <v>4000</v>
      </c>
      <c r="R11" s="2">
        <v>3000</v>
      </c>
      <c r="S11" s="2">
        <v>3000</v>
      </c>
      <c r="T11" s="2">
        <v>3000</v>
      </c>
      <c r="U11" s="89">
        <f t="shared" si="0"/>
        <v>-0.25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844</v>
      </c>
      <c r="P12" s="2">
        <v>844</v>
      </c>
      <c r="Q12" s="2">
        <v>844</v>
      </c>
      <c r="R12" s="2">
        <v>900</v>
      </c>
      <c r="S12" s="2">
        <v>900</v>
      </c>
      <c r="T12" s="2">
        <v>900</v>
      </c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9"/>
    </row>
    <row r="14" spans="1:22" ht="12.75">
      <c r="A14" s="22" t="s">
        <v>805</v>
      </c>
      <c r="B14" s="4">
        <v>52.1208</v>
      </c>
      <c r="C14" s="2"/>
      <c r="D14" s="2"/>
      <c r="E14" s="2"/>
      <c r="F14" s="2"/>
      <c r="G14" s="2"/>
      <c r="H14" s="2"/>
      <c r="I14" s="2"/>
      <c r="J14" s="2"/>
      <c r="K14" s="2">
        <v>2400</v>
      </c>
      <c r="L14" s="2">
        <v>2400</v>
      </c>
      <c r="M14" s="2">
        <v>2400</v>
      </c>
      <c r="N14" s="2">
        <v>2400</v>
      </c>
      <c r="O14" s="2">
        <v>1600</v>
      </c>
      <c r="P14" s="2">
        <v>2400</v>
      </c>
      <c r="Q14" s="2">
        <v>2400</v>
      </c>
      <c r="R14" s="2">
        <v>2400</v>
      </c>
      <c r="S14" s="2">
        <v>2400</v>
      </c>
      <c r="T14" s="2">
        <v>2400</v>
      </c>
      <c r="U14" s="89"/>
      <c r="V14" t="s">
        <v>511</v>
      </c>
    </row>
    <row r="15" spans="1:22" ht="12.75">
      <c r="A15" t="s">
        <v>786</v>
      </c>
      <c r="B15" s="4">
        <v>52.1316</v>
      </c>
      <c r="C15" s="2"/>
      <c r="D15" s="2"/>
      <c r="E15" s="2"/>
      <c r="F15" s="2"/>
      <c r="G15" s="2"/>
      <c r="H15" s="2"/>
      <c r="I15" s="2"/>
      <c r="J15" s="2">
        <v>846</v>
      </c>
      <c r="K15" s="2">
        <v>973</v>
      </c>
      <c r="L15" s="2">
        <v>815</v>
      </c>
      <c r="M15" s="2">
        <v>873</v>
      </c>
      <c r="N15" s="2">
        <v>916</v>
      </c>
      <c r="O15" s="2">
        <v>981</v>
      </c>
      <c r="P15" s="2">
        <v>981</v>
      </c>
      <c r="Q15" s="2">
        <v>963</v>
      </c>
      <c r="R15" s="2">
        <v>1050</v>
      </c>
      <c r="S15" s="2">
        <v>1050</v>
      </c>
      <c r="T15" s="2">
        <v>1050</v>
      </c>
      <c r="U15" s="89"/>
      <c r="V15" s="2"/>
    </row>
    <row r="16" spans="1:21" ht="12.75" hidden="1">
      <c r="A16" t="s">
        <v>164</v>
      </c>
      <c r="B16" s="4">
        <v>52.2204</v>
      </c>
      <c r="C16" s="2"/>
      <c r="D16" s="2"/>
      <c r="E16" s="2"/>
      <c r="F16" s="2"/>
      <c r="G16" s="2"/>
      <c r="H16" s="2"/>
      <c r="I16" s="2">
        <v>1540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2" ht="12.75" hidden="1">
      <c r="A17" t="s">
        <v>159</v>
      </c>
      <c r="B17" s="4">
        <v>52.12</v>
      </c>
      <c r="C17" s="2"/>
      <c r="D17" s="2"/>
      <c r="E17" s="2"/>
      <c r="F17" s="2">
        <v>215</v>
      </c>
      <c r="G17" s="2"/>
      <c r="H17" s="2"/>
      <c r="I17" s="2"/>
      <c r="J17" s="2">
        <v>3400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89">
        <v>0.47619047619047616</v>
      </c>
      <c r="V17" t="s">
        <v>510</v>
      </c>
    </row>
    <row r="18" spans="1:21" ht="12.75">
      <c r="A18" t="s">
        <v>143</v>
      </c>
      <c r="B18" s="4">
        <v>52.32</v>
      </c>
      <c r="C18" s="2">
        <v>2204</v>
      </c>
      <c r="D18" s="2">
        <v>1993</v>
      </c>
      <c r="E18" s="2">
        <v>2255</v>
      </c>
      <c r="F18" s="2">
        <v>2379</v>
      </c>
      <c r="G18" s="2">
        <v>2255</v>
      </c>
      <c r="H18" s="2">
        <v>2995</v>
      </c>
      <c r="I18" s="2">
        <v>3027</v>
      </c>
      <c r="J18" s="2">
        <v>2750</v>
      </c>
      <c r="K18" s="2">
        <v>3376</v>
      </c>
      <c r="L18" s="2">
        <f>3290-26</f>
        <v>3264</v>
      </c>
      <c r="M18" s="2">
        <v>3124</v>
      </c>
      <c r="N18" s="2">
        <v>3003</v>
      </c>
      <c r="O18" s="2">
        <v>1852</v>
      </c>
      <c r="P18" s="2">
        <f>+O18/$O$3*12</f>
        <v>2778</v>
      </c>
      <c r="Q18" s="2">
        <v>2500</v>
      </c>
      <c r="R18" s="2">
        <v>2500</v>
      </c>
      <c r="S18" s="2">
        <v>2500</v>
      </c>
      <c r="T18" s="2">
        <v>2500</v>
      </c>
      <c r="U18" s="89">
        <f t="shared" si="0"/>
        <v>0</v>
      </c>
    </row>
    <row r="19" spans="1:21" ht="12.75">
      <c r="A19" t="s">
        <v>144</v>
      </c>
      <c r="B19" s="4">
        <v>52.321</v>
      </c>
      <c r="C19" s="2">
        <v>1926</v>
      </c>
      <c r="D19" s="2">
        <v>2096</v>
      </c>
      <c r="E19" s="2">
        <v>2072</v>
      </c>
      <c r="F19" s="2">
        <v>2598</v>
      </c>
      <c r="G19" s="2">
        <v>2569</v>
      </c>
      <c r="H19" s="2">
        <v>1671</v>
      </c>
      <c r="I19" s="2">
        <v>2571</v>
      </c>
      <c r="J19" s="2">
        <v>3028</v>
      </c>
      <c r="K19" s="2">
        <v>912</v>
      </c>
      <c r="L19" s="2">
        <v>2592</v>
      </c>
      <c r="M19" s="2">
        <v>2543</v>
      </c>
      <c r="N19" s="2">
        <v>2775</v>
      </c>
      <c r="O19" s="2">
        <v>261</v>
      </c>
      <c r="P19" s="2">
        <v>2600</v>
      </c>
      <c r="Q19" s="2">
        <v>2600</v>
      </c>
      <c r="R19" s="2">
        <v>2600</v>
      </c>
      <c r="S19" s="2">
        <v>2600</v>
      </c>
      <c r="T19" s="2">
        <v>2600</v>
      </c>
      <c r="U19" s="89">
        <f t="shared" si="0"/>
        <v>0</v>
      </c>
    </row>
    <row r="20" spans="1:23" ht="12.75">
      <c r="A20" t="s">
        <v>156</v>
      </c>
      <c r="B20" s="4">
        <v>52.35</v>
      </c>
      <c r="C20" s="2">
        <v>2246</v>
      </c>
      <c r="D20" s="2">
        <v>2726</v>
      </c>
      <c r="E20" s="2">
        <v>2234</v>
      </c>
      <c r="F20" s="2">
        <v>1932</v>
      </c>
      <c r="G20" s="2">
        <v>2156</v>
      </c>
      <c r="H20" s="2">
        <v>1972</v>
      </c>
      <c r="I20" s="2">
        <v>1931</v>
      </c>
      <c r="J20" s="2">
        <v>1354</v>
      </c>
      <c r="K20" s="2">
        <v>1894</v>
      </c>
      <c r="L20" s="2">
        <v>1454</v>
      </c>
      <c r="M20" s="2">
        <v>1489</v>
      </c>
      <c r="N20" s="2">
        <v>245</v>
      </c>
      <c r="O20" s="2">
        <v>308</v>
      </c>
      <c r="P20" s="2">
        <v>1500</v>
      </c>
      <c r="Q20" s="2">
        <v>1500</v>
      </c>
      <c r="R20" s="2">
        <v>1500</v>
      </c>
      <c r="S20" s="2">
        <v>1500</v>
      </c>
      <c r="T20" s="2">
        <v>1500</v>
      </c>
      <c r="U20" s="89">
        <f t="shared" si="0"/>
        <v>0</v>
      </c>
      <c r="V20" s="33" t="s">
        <v>575</v>
      </c>
      <c r="W20" s="6"/>
    </row>
    <row r="21" spans="1:21" ht="12.75">
      <c r="A21" t="s">
        <v>146</v>
      </c>
      <c r="B21" s="4">
        <v>52.3602</v>
      </c>
      <c r="C21" s="2">
        <v>85</v>
      </c>
      <c r="D21" s="2">
        <v>75</v>
      </c>
      <c r="E21" s="2">
        <v>70</v>
      </c>
      <c r="F21" s="2">
        <v>115</v>
      </c>
      <c r="G21" s="2"/>
      <c r="H21" s="2">
        <v>220</v>
      </c>
      <c r="I21" s="2">
        <v>160</v>
      </c>
      <c r="J21" s="2">
        <v>160</v>
      </c>
      <c r="K21" s="2">
        <v>110</v>
      </c>
      <c r="L21" s="2">
        <v>300</v>
      </c>
      <c r="M21" s="2">
        <v>310</v>
      </c>
      <c r="N21" s="2">
        <v>300</v>
      </c>
      <c r="O21" s="2"/>
      <c r="P21" s="2">
        <v>300</v>
      </c>
      <c r="Q21" s="2">
        <v>300</v>
      </c>
      <c r="R21" s="2">
        <v>300</v>
      </c>
      <c r="S21" s="2">
        <v>300</v>
      </c>
      <c r="T21" s="2">
        <v>300</v>
      </c>
      <c r="U21" s="89">
        <f t="shared" si="0"/>
        <v>0</v>
      </c>
    </row>
    <row r="22" spans="1:23" ht="12.75">
      <c r="A22" t="s">
        <v>157</v>
      </c>
      <c r="B22" s="4">
        <v>52.37</v>
      </c>
      <c r="C22" s="2"/>
      <c r="D22" s="2"/>
      <c r="E22" s="2">
        <v>500</v>
      </c>
      <c r="F22" s="2">
        <v>465</v>
      </c>
      <c r="G22" s="2">
        <v>537</v>
      </c>
      <c r="H22" s="2">
        <v>645</v>
      </c>
      <c r="I22" s="2"/>
      <c r="J22" s="2"/>
      <c r="K22" s="2">
        <v>525</v>
      </c>
      <c r="L22" s="2">
        <v>795</v>
      </c>
      <c r="M22" s="2">
        <v>795</v>
      </c>
      <c r="N22" s="2">
        <v>795</v>
      </c>
      <c r="O22" s="2">
        <v>795</v>
      </c>
      <c r="P22" s="2">
        <v>1095</v>
      </c>
      <c r="Q22" s="2">
        <v>1095</v>
      </c>
      <c r="R22" s="2">
        <v>1095</v>
      </c>
      <c r="S22" s="2">
        <v>1095</v>
      </c>
      <c r="T22" s="2">
        <v>1095</v>
      </c>
      <c r="U22" s="89">
        <f t="shared" si="0"/>
        <v>0</v>
      </c>
      <c r="V22" s="33" t="s">
        <v>575</v>
      </c>
      <c r="W22" s="6"/>
    </row>
    <row r="23" spans="2:21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1:22" ht="12.75">
      <c r="A24" t="s">
        <v>151</v>
      </c>
      <c r="B24" s="4">
        <v>53.171</v>
      </c>
      <c r="C24" s="2">
        <v>3762</v>
      </c>
      <c r="D24" s="2">
        <v>5773</v>
      </c>
      <c r="E24" s="2">
        <v>3279</v>
      </c>
      <c r="F24" s="2">
        <v>3332</v>
      </c>
      <c r="G24" s="2">
        <v>3316</v>
      </c>
      <c r="H24" s="2">
        <v>2551</v>
      </c>
      <c r="I24" s="2">
        <v>2977</v>
      </c>
      <c r="J24" s="2">
        <v>3023</v>
      </c>
      <c r="K24" s="2">
        <v>2718</v>
      </c>
      <c r="L24" s="2">
        <v>2267</v>
      </c>
      <c r="M24" s="2">
        <v>3033</v>
      </c>
      <c r="N24" s="2">
        <v>2648</v>
      </c>
      <c r="O24" s="2">
        <v>799</v>
      </c>
      <c r="P24" s="2">
        <v>2200</v>
      </c>
      <c r="Q24" s="2">
        <v>2200</v>
      </c>
      <c r="R24" s="2">
        <v>2200</v>
      </c>
      <c r="S24" s="2">
        <v>2200</v>
      </c>
      <c r="T24" s="2">
        <v>2200</v>
      </c>
      <c r="U24" s="89">
        <f t="shared" si="0"/>
        <v>0</v>
      </c>
      <c r="V24" s="2"/>
    </row>
    <row r="25" spans="1:22" ht="12.75">
      <c r="A25" t="s">
        <v>900</v>
      </c>
      <c r="B25" s="4">
        <v>53.1737</v>
      </c>
      <c r="C25" s="2"/>
      <c r="D25" s="2"/>
      <c r="E25" s="2"/>
      <c r="F25" s="2"/>
      <c r="G25" s="2"/>
      <c r="H25" s="2"/>
      <c r="I25" s="2"/>
      <c r="J25" s="2"/>
      <c r="K25" s="2"/>
      <c r="L25" s="2">
        <v>167</v>
      </c>
      <c r="M25" s="2"/>
      <c r="N25" s="2"/>
      <c r="O25" s="2"/>
      <c r="P25" s="2"/>
      <c r="Q25" s="2"/>
      <c r="R25" s="2"/>
      <c r="S25" s="2"/>
      <c r="T25" s="2"/>
      <c r="U25" s="89"/>
      <c r="V25" s="2"/>
    </row>
    <row r="26" spans="1:21" ht="12.75" hidden="1">
      <c r="A26" t="s">
        <v>356</v>
      </c>
      <c r="B26" s="4">
        <v>53.179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12.75" hidden="1">
      <c r="A27" t="s">
        <v>618</v>
      </c>
      <c r="C27" s="2"/>
      <c r="D27" s="2"/>
      <c r="E27" s="2"/>
      <c r="F27" s="2"/>
      <c r="G27" s="2"/>
      <c r="H27" s="2">
        <v>80</v>
      </c>
      <c r="I27" s="2">
        <v>3800</v>
      </c>
      <c r="J27" s="2"/>
      <c r="K27" s="2"/>
      <c r="L27" s="2"/>
      <c r="M27" s="2"/>
      <c r="N27" s="2"/>
      <c r="O27" s="2"/>
      <c r="Q27" s="2"/>
      <c r="R27" s="2"/>
      <c r="S27" s="2"/>
      <c r="T27" s="2"/>
      <c r="U27" s="89"/>
    </row>
    <row r="28" spans="1:21" ht="12.75" hidden="1">
      <c r="A28" t="s">
        <v>637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89"/>
    </row>
    <row r="29" spans="1:22" ht="12.75">
      <c r="A29" t="s">
        <v>229</v>
      </c>
      <c r="B29" s="4">
        <v>54.24</v>
      </c>
      <c r="C29" s="5"/>
      <c r="D29" s="5"/>
      <c r="E29" s="2">
        <v>1528</v>
      </c>
      <c r="F29" s="2">
        <v>1654</v>
      </c>
      <c r="G29" s="2">
        <v>245</v>
      </c>
      <c r="H29" s="2"/>
      <c r="I29" s="2">
        <v>1324</v>
      </c>
      <c r="J29" s="2">
        <v>1156</v>
      </c>
      <c r="K29" s="2">
        <v>977</v>
      </c>
      <c r="L29" s="2">
        <v>1230</v>
      </c>
      <c r="M29" s="2"/>
      <c r="N29" s="2"/>
      <c r="O29" s="2"/>
      <c r="P29" s="2"/>
      <c r="Q29" s="2"/>
      <c r="R29" s="2"/>
      <c r="S29" s="2"/>
      <c r="T29" s="2"/>
      <c r="U29" s="89"/>
      <c r="V29" s="33"/>
    </row>
    <row r="30" spans="2:21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1"/>
    </row>
    <row r="31" spans="1:21" ht="12.75">
      <c r="A31" s="6" t="s">
        <v>119</v>
      </c>
      <c r="B31" s="6"/>
      <c r="C31" s="7">
        <f>SUM(C7:C27)</f>
        <v>99662</v>
      </c>
      <c r="D31" s="8">
        <f>SUM(D7:D27)</f>
        <v>109429</v>
      </c>
      <c r="E31" s="8">
        <f>SUM(E7:E30)</f>
        <v>115436</v>
      </c>
      <c r="F31" s="8">
        <f>SUM(F7:F30)</f>
        <v>126753</v>
      </c>
      <c r="G31" s="8">
        <f>SUM(G7:G30)</f>
        <v>130572</v>
      </c>
      <c r="H31" s="8">
        <f>SUM(H7:H30)</f>
        <v>136691</v>
      </c>
      <c r="I31" s="8">
        <f>SUM(I7:I30)</f>
        <v>146403</v>
      </c>
      <c r="J31" s="8">
        <v>153640</v>
      </c>
      <c r="K31" s="8">
        <f>SUM(K7:K30)</f>
        <v>171119</v>
      </c>
      <c r="L31" s="8">
        <v>185075</v>
      </c>
      <c r="M31" s="8">
        <v>192252</v>
      </c>
      <c r="N31" s="8">
        <v>157993</v>
      </c>
      <c r="O31" s="8">
        <f aca="true" t="shared" si="1" ref="O31:T31">SUM(O7:O30)</f>
        <v>106266</v>
      </c>
      <c r="P31" s="8">
        <f t="shared" si="1"/>
        <v>162937</v>
      </c>
      <c r="Q31" s="8">
        <f t="shared" si="1"/>
        <v>166308.24837999998</v>
      </c>
      <c r="R31" s="8">
        <f t="shared" si="1"/>
        <v>171207.4765</v>
      </c>
      <c r="S31" s="8">
        <f t="shared" si="1"/>
        <v>171207.4765</v>
      </c>
      <c r="T31" s="8">
        <f t="shared" si="1"/>
        <v>171207.4765</v>
      </c>
      <c r="U31" s="52">
        <f>(T31-Q31)/Q31</f>
        <v>0.029458719983663718</v>
      </c>
    </row>
    <row r="33" spans="17:19" ht="12.75">
      <c r="Q33" s="22" t="s">
        <v>484</v>
      </c>
      <c r="R33" s="22"/>
      <c r="S33" s="55">
        <f>R31-S31</f>
        <v>0</v>
      </c>
    </row>
    <row r="34" spans="17:19" ht="12.75">
      <c r="Q34" s="22" t="s">
        <v>725</v>
      </c>
      <c r="R34" s="22"/>
      <c r="S34" s="55">
        <f>Q31-S31</f>
        <v>-4899.228120000014</v>
      </c>
    </row>
    <row r="35" spans="17:19" ht="12.75">
      <c r="Q35" s="22" t="s">
        <v>432</v>
      </c>
      <c r="R35" s="22"/>
      <c r="S35" s="55">
        <f>S31-T31</f>
        <v>0</v>
      </c>
    </row>
    <row r="36" ht="12.75">
      <c r="A36" s="22" t="s">
        <v>5</v>
      </c>
    </row>
    <row r="37" ht="12.75">
      <c r="A37" t="s">
        <v>1054</v>
      </c>
    </row>
    <row r="38" ht="12.75">
      <c r="A38" t="s">
        <v>3</v>
      </c>
    </row>
    <row r="39" ht="12.75">
      <c r="A39" t="s">
        <v>4</v>
      </c>
    </row>
    <row r="40" ht="12.75">
      <c r="A40" s="22" t="s">
        <v>1102</v>
      </c>
    </row>
    <row r="41" ht="12.75">
      <c r="A41" s="45"/>
    </row>
    <row r="42" spans="1:17" ht="12.75">
      <c r="A42" t="s">
        <v>884</v>
      </c>
      <c r="I42" s="42">
        <v>68415</v>
      </c>
      <c r="J42" s="42">
        <v>62360</v>
      </c>
      <c r="K42" s="42">
        <v>84113</v>
      </c>
      <c r="L42" s="42">
        <v>71981</v>
      </c>
      <c r="M42" s="42">
        <v>81396</v>
      </c>
      <c r="N42" s="42">
        <v>65352</v>
      </c>
      <c r="O42" s="31">
        <v>45569</v>
      </c>
      <c r="P42" s="2">
        <f>+O42/$O$3*12</f>
        <v>68353.5</v>
      </c>
      <c r="Q42" s="31">
        <v>55000</v>
      </c>
    </row>
    <row r="43" spans="1:19" ht="12.75">
      <c r="A43" t="s">
        <v>968</v>
      </c>
      <c r="K43" s="75">
        <f>K42/K31</f>
        <v>0.4915468182960396</v>
      </c>
      <c r="L43" s="75">
        <v>0.3889288126435229</v>
      </c>
      <c r="M43" s="75">
        <v>0.4233818113725735</v>
      </c>
      <c r="N43" s="75">
        <v>0.4136385789243827</v>
      </c>
      <c r="O43" s="75">
        <f>O42/O31</f>
        <v>0.42882013061562496</v>
      </c>
      <c r="P43" s="75">
        <f>P42/P31</f>
        <v>0.4195087671922277</v>
      </c>
      <c r="Q43" s="75">
        <f>Q42/Q31</f>
        <v>0.3307111976450486</v>
      </c>
      <c r="R43" s="4"/>
      <c r="S43" s="156"/>
    </row>
    <row r="45" ht="12.75">
      <c r="Q45" s="5"/>
    </row>
    <row r="47" ht="12.75">
      <c r="Q47" s="5"/>
    </row>
    <row r="58" spans="12:16" ht="12.75">
      <c r="L58" s="2"/>
      <c r="M58" s="2"/>
      <c r="N58" s="2"/>
      <c r="O58" s="2"/>
      <c r="P58" s="2"/>
    </row>
    <row r="59" spans="12:16" ht="12.75">
      <c r="L59" s="2"/>
      <c r="M59" s="2"/>
      <c r="N59" s="2"/>
      <c r="O59" s="2"/>
      <c r="P59" s="2"/>
    </row>
    <row r="60" spans="12:16" ht="12.75">
      <c r="L60" s="2"/>
      <c r="M60" s="2"/>
      <c r="N60" s="2"/>
      <c r="O60" s="2"/>
      <c r="P60" s="2"/>
    </row>
    <row r="61" spans="12:16" ht="12.75">
      <c r="L61" s="2"/>
      <c r="M61" s="2"/>
      <c r="N61" s="2"/>
      <c r="O61" s="2"/>
      <c r="P61" s="2"/>
    </row>
    <row r="62" spans="12:16" ht="12.75">
      <c r="L62" s="2"/>
      <c r="M62" s="2"/>
      <c r="N62" s="2"/>
      <c r="O62" s="2"/>
      <c r="P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Q65" s="2"/>
      <c r="R65" s="2"/>
      <c r="S65" s="2"/>
      <c r="T65" s="2"/>
    </row>
    <row r="66" spans="3:21" ht="12.75">
      <c r="C66" s="2"/>
      <c r="D66" s="2"/>
      <c r="E66" s="2"/>
      <c r="F66" s="2"/>
      <c r="G66" s="2"/>
      <c r="H66" s="2"/>
      <c r="I66" s="2"/>
      <c r="J66" s="2"/>
      <c r="K66" s="2"/>
      <c r="Q66" s="2"/>
      <c r="R66" s="2"/>
      <c r="S66" s="2"/>
      <c r="T66" s="2"/>
      <c r="U66" s="2"/>
    </row>
    <row r="67" spans="3:21" ht="12.75">
      <c r="C67" s="2"/>
      <c r="D67" s="2"/>
      <c r="E67" s="2"/>
      <c r="F67" s="2"/>
      <c r="G67" s="2"/>
      <c r="H67" s="2"/>
      <c r="I67" s="2"/>
      <c r="J67" s="2"/>
      <c r="K67" s="2"/>
      <c r="Q67" s="2"/>
      <c r="R67" s="2"/>
      <c r="S67" s="2"/>
      <c r="T67" s="2"/>
      <c r="U67" s="2"/>
    </row>
    <row r="68" spans="3:21" ht="12.75">
      <c r="C68" s="2"/>
      <c r="D68" s="2"/>
      <c r="E68" s="2"/>
      <c r="F68" s="2"/>
      <c r="G68" s="2"/>
      <c r="H68" s="2"/>
      <c r="I68" s="2"/>
      <c r="J68" s="2"/>
      <c r="K68" s="2"/>
      <c r="Q68" s="2"/>
      <c r="R68" s="2"/>
      <c r="S68" s="2"/>
      <c r="T68" s="2"/>
      <c r="U68" s="2"/>
    </row>
    <row r="69" ht="12.75">
      <c r="U69" s="2"/>
    </row>
    <row r="70" ht="12.75">
      <c r="U70" s="2"/>
    </row>
    <row r="71" ht="12.75">
      <c r="U71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V68"/>
  <sheetViews>
    <sheetView zoomScale="75" zoomScaleNormal="75" workbookViewId="0" topLeftCell="A1">
      <selection activeCell="A71" sqref="A7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11" width="8.7109375" style="0" hidden="1" customWidth="1"/>
    <col min="12" max="14" width="8.7109375" style="0" customWidth="1"/>
    <col min="15" max="15" width="8.7109375" style="0" bestFit="1" customWidth="1"/>
    <col min="16" max="16" width="9.7109375" style="0" bestFit="1" customWidth="1"/>
    <col min="17" max="17" width="9.00390625" style="0" customWidth="1"/>
    <col min="18" max="18" width="11.7109375" style="0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452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 t="s">
        <v>111</v>
      </c>
      <c r="E4" s="1" t="s">
        <v>111</v>
      </c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442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s="22" t="s">
        <v>652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195110</v>
      </c>
      <c r="N7" s="2">
        <v>204051</v>
      </c>
      <c r="O7" s="2">
        <v>136781</v>
      </c>
      <c r="P7" s="2">
        <f>+O7/$O$3*12</f>
        <v>205171.5</v>
      </c>
      <c r="Q7" s="2">
        <v>205260.68</v>
      </c>
      <c r="R7" s="2">
        <v>207563</v>
      </c>
      <c r="S7" s="2">
        <v>207563</v>
      </c>
      <c r="T7" s="2">
        <v>207563</v>
      </c>
      <c r="U7" s="89">
        <f>(T7-Q7)/Q7</f>
        <v>0.011216566173316813</v>
      </c>
      <c r="V7" s="33" t="s">
        <v>372</v>
      </c>
    </row>
    <row r="8" spans="1:22" ht="12.75" hidden="1">
      <c r="A8" t="s">
        <v>643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/>
      <c r="O8" s="2"/>
      <c r="P8" s="2">
        <f>+O8/$O$3*12</f>
        <v>0</v>
      </c>
      <c r="Q8" s="2"/>
      <c r="R8" s="2"/>
      <c r="S8" s="2"/>
      <c r="T8" s="2"/>
      <c r="U8" s="89" t="e">
        <f>(T8-Q8)/Q8</f>
        <v>#DIV/0!</v>
      </c>
      <c r="V8" s="33" t="s">
        <v>510</v>
      </c>
    </row>
    <row r="9" spans="1:22" ht="12.75">
      <c r="A9" t="s">
        <v>490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18195</v>
      </c>
      <c r="N9" s="2">
        <v>18571</v>
      </c>
      <c r="O9" s="2">
        <v>13109</v>
      </c>
      <c r="P9" s="2">
        <f>+O9/$O$3*12</f>
        <v>19663.5</v>
      </c>
      <c r="Q9" s="31">
        <v>19840</v>
      </c>
      <c r="R9" s="31">
        <v>21404</v>
      </c>
      <c r="S9" s="31">
        <f>4*5351</f>
        <v>21404</v>
      </c>
      <c r="T9" s="31">
        <f>4*5351</f>
        <v>21404</v>
      </c>
      <c r="U9" s="89">
        <f>(T9-Q9)/Q9</f>
        <v>0.07883064516129032</v>
      </c>
      <c r="V9" s="33" t="s">
        <v>510</v>
      </c>
    </row>
    <row r="10" spans="1:21" ht="12.75">
      <c r="A10" t="s">
        <v>141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14788</v>
      </c>
      <c r="N10" s="2">
        <v>14838</v>
      </c>
      <c r="O10" s="2">
        <v>9639</v>
      </c>
      <c r="P10" s="2">
        <f>+O10/$O$3*12</f>
        <v>14458.5</v>
      </c>
      <c r="Q10" s="2">
        <f>Q7*0.0765</f>
        <v>15702.442019999999</v>
      </c>
      <c r="R10" s="2">
        <f>R7*0.0765</f>
        <v>15878.5695</v>
      </c>
      <c r="S10" s="2">
        <f>S7*0.0765</f>
        <v>15878.5695</v>
      </c>
      <c r="T10" s="2">
        <f>T7*0.0765</f>
        <v>15878.5695</v>
      </c>
      <c r="U10" s="89">
        <f>(T10-Q10)/Q10</f>
        <v>0.011216566173316844</v>
      </c>
    </row>
    <row r="11" spans="1:21" ht="12.75">
      <c r="A11" t="s">
        <v>155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1538</v>
      </c>
      <c r="N11" s="2">
        <v>5129</v>
      </c>
      <c r="O11" s="2">
        <v>3199</v>
      </c>
      <c r="P11" s="2">
        <f>+O11/$O$3*12</f>
        <v>4798.5</v>
      </c>
      <c r="Q11" s="2">
        <v>6000</v>
      </c>
      <c r="R11" s="2">
        <v>5500</v>
      </c>
      <c r="S11" s="2">
        <v>5500</v>
      </c>
      <c r="T11" s="2">
        <v>5500</v>
      </c>
      <c r="U11" s="89">
        <f>(T11-Q11)/Q11</f>
        <v>-0.08333333333333333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1398</v>
      </c>
      <c r="P12" s="2">
        <v>1398</v>
      </c>
      <c r="Q12" s="2">
        <v>1398</v>
      </c>
      <c r="R12" s="2">
        <v>1400</v>
      </c>
      <c r="S12" s="2">
        <v>1400</v>
      </c>
      <c r="T12" s="2">
        <v>1400</v>
      </c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3"/>
      <c r="R13" s="2"/>
      <c r="S13" s="13"/>
      <c r="T13" s="13"/>
      <c r="U13" s="89"/>
    </row>
    <row r="14" spans="1:21" ht="12.75">
      <c r="A14" t="s">
        <v>207</v>
      </c>
      <c r="B14" s="4">
        <v>52.121</v>
      </c>
      <c r="C14" s="2"/>
      <c r="D14" s="2"/>
      <c r="E14" s="2"/>
      <c r="F14" s="2"/>
      <c r="G14" s="2"/>
      <c r="H14" s="2"/>
      <c r="I14" s="2"/>
      <c r="J14" s="2">
        <v>81</v>
      </c>
      <c r="K14" s="2"/>
      <c r="L14" s="2">
        <v>283</v>
      </c>
      <c r="M14" s="2"/>
      <c r="N14" s="2"/>
      <c r="O14" s="2">
        <v>350</v>
      </c>
      <c r="P14" s="2">
        <f>+O14/$O$3*12</f>
        <v>525</v>
      </c>
      <c r="Q14" s="13"/>
      <c r="R14" s="2"/>
      <c r="S14" s="13"/>
      <c r="T14" s="13"/>
      <c r="U14" s="89"/>
    </row>
    <row r="15" spans="1:21" ht="12.75" hidden="1">
      <c r="A15" t="s">
        <v>662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 t="e">
        <f aca="true" t="shared" si="0" ref="U15:U23">(T15-Q15)/Q15</f>
        <v>#DIV/0!</v>
      </c>
    </row>
    <row r="16" spans="1:21" ht="12.75">
      <c r="A16" t="s">
        <v>220</v>
      </c>
      <c r="B16" s="4">
        <v>52.1253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3800</v>
      </c>
      <c r="O16" s="2">
        <v>4100</v>
      </c>
      <c r="P16" s="2">
        <v>7000</v>
      </c>
      <c r="Q16" s="20">
        <v>9000</v>
      </c>
      <c r="R16" s="2">
        <v>9600</v>
      </c>
      <c r="S16" s="20">
        <v>9600</v>
      </c>
      <c r="T16" s="20">
        <v>9600</v>
      </c>
      <c r="U16" s="89"/>
    </row>
    <row r="17" spans="1:21" ht="12.75">
      <c r="A17" t="s">
        <v>786</v>
      </c>
      <c r="B17" s="4">
        <v>52.1316</v>
      </c>
      <c r="C17" s="2">
        <v>930</v>
      </c>
      <c r="D17" s="2">
        <v>553</v>
      </c>
      <c r="E17" s="2">
        <v>595</v>
      </c>
      <c r="F17" s="2">
        <v>650</v>
      </c>
      <c r="G17" s="2">
        <v>837</v>
      </c>
      <c r="H17" s="2">
        <v>686</v>
      </c>
      <c r="I17" s="2">
        <v>853</v>
      </c>
      <c r="J17" s="2">
        <v>219</v>
      </c>
      <c r="K17" s="2">
        <v>250</v>
      </c>
      <c r="L17" s="2"/>
      <c r="M17" s="2">
        <v>568</v>
      </c>
      <c r="N17" s="2">
        <v>215</v>
      </c>
      <c r="O17" s="2">
        <v>226</v>
      </c>
      <c r="P17" s="2">
        <v>540</v>
      </c>
      <c r="Q17" s="2">
        <v>540</v>
      </c>
      <c r="R17" s="2">
        <v>540</v>
      </c>
      <c r="S17" s="2">
        <v>540</v>
      </c>
      <c r="T17" s="2">
        <v>540</v>
      </c>
      <c r="U17" s="89">
        <f t="shared" si="0"/>
        <v>0</v>
      </c>
    </row>
    <row r="18" spans="1:21" ht="12.75">
      <c r="A18" t="s">
        <v>143</v>
      </c>
      <c r="B18" s="4">
        <v>52.32</v>
      </c>
      <c r="C18" s="2">
        <v>1850</v>
      </c>
      <c r="D18" s="2">
        <v>2105</v>
      </c>
      <c r="E18" s="2">
        <v>2063</v>
      </c>
      <c r="F18" s="2">
        <v>2428</v>
      </c>
      <c r="G18" s="2">
        <v>1844</v>
      </c>
      <c r="H18" s="2">
        <v>1910</v>
      </c>
      <c r="I18" s="2">
        <v>1740</v>
      </c>
      <c r="J18" s="2">
        <v>2090</v>
      </c>
      <c r="K18" s="2">
        <v>1658</v>
      </c>
      <c r="L18" s="2">
        <v>1785</v>
      </c>
      <c r="M18" s="2">
        <v>2132</v>
      </c>
      <c r="N18" s="2">
        <v>2063</v>
      </c>
      <c r="O18" s="2">
        <v>1393</v>
      </c>
      <c r="P18" s="2">
        <f>+O18/$O$3*12</f>
        <v>2089.5</v>
      </c>
      <c r="Q18" s="20">
        <v>2100</v>
      </c>
      <c r="R18" s="2">
        <v>2200</v>
      </c>
      <c r="S18" s="20">
        <v>2100</v>
      </c>
      <c r="T18" s="20">
        <v>2100</v>
      </c>
      <c r="U18" s="89">
        <f t="shared" si="0"/>
        <v>0</v>
      </c>
    </row>
    <row r="19" spans="1:21" ht="12.75">
      <c r="A19" t="s">
        <v>144</v>
      </c>
      <c r="B19" s="4">
        <v>52.321</v>
      </c>
      <c r="C19" s="2">
        <v>943</v>
      </c>
      <c r="D19" s="2">
        <v>691</v>
      </c>
      <c r="E19" s="2">
        <v>699</v>
      </c>
      <c r="F19" s="2">
        <v>728</v>
      </c>
      <c r="G19" s="2">
        <v>1173</v>
      </c>
      <c r="H19" s="2">
        <v>655</v>
      </c>
      <c r="I19" s="2">
        <v>718</v>
      </c>
      <c r="J19" s="2">
        <v>584</v>
      </c>
      <c r="K19" s="2">
        <v>757</v>
      </c>
      <c r="L19" s="2">
        <v>973</v>
      </c>
      <c r="M19" s="2">
        <v>977</v>
      </c>
      <c r="N19" s="2">
        <v>1096</v>
      </c>
      <c r="O19" s="2">
        <v>690</v>
      </c>
      <c r="P19" s="2">
        <f>+O19/$O$3*12</f>
        <v>1035</v>
      </c>
      <c r="Q19" s="2">
        <v>1600</v>
      </c>
      <c r="R19" s="2">
        <v>1800</v>
      </c>
      <c r="S19" s="2">
        <v>1600</v>
      </c>
      <c r="T19" s="2">
        <v>1600</v>
      </c>
      <c r="U19" s="89">
        <f t="shared" si="0"/>
        <v>0</v>
      </c>
    </row>
    <row r="20" spans="1:21" ht="12.75" hidden="1">
      <c r="A20" t="s">
        <v>165</v>
      </c>
      <c r="B20" s="4">
        <v>52.33</v>
      </c>
      <c r="C20" s="2"/>
      <c r="D20" s="2"/>
      <c r="E20" s="2"/>
      <c r="F20" s="2"/>
      <c r="G20" s="2">
        <v>20</v>
      </c>
      <c r="H20" s="2"/>
      <c r="I20" s="2"/>
      <c r="J20" s="2"/>
      <c r="K20" s="2"/>
      <c r="L20" s="2"/>
      <c r="M20" s="2"/>
      <c r="N20" s="2"/>
      <c r="P20" s="2"/>
      <c r="Q20" s="2"/>
      <c r="R20" s="2"/>
      <c r="S20" s="2"/>
      <c r="T20" s="2"/>
      <c r="U20" s="89" t="e">
        <f t="shared" si="0"/>
        <v>#DIV/0!</v>
      </c>
    </row>
    <row r="21" spans="1:21" ht="12.75">
      <c r="A21" t="s">
        <v>384</v>
      </c>
      <c r="B21" s="4">
        <v>52.34</v>
      </c>
      <c r="C21" s="2"/>
      <c r="D21" s="2"/>
      <c r="E21" s="2"/>
      <c r="F21" s="2">
        <v>156</v>
      </c>
      <c r="G21" s="2"/>
      <c r="H21" s="2">
        <v>1010</v>
      </c>
      <c r="I21" s="2">
        <v>269</v>
      </c>
      <c r="J21" s="2">
        <v>306</v>
      </c>
      <c r="K21" s="2">
        <v>473</v>
      </c>
      <c r="L21" s="2">
        <v>516</v>
      </c>
      <c r="M21" s="2">
        <v>469</v>
      </c>
      <c r="N21" s="2">
        <v>698</v>
      </c>
      <c r="O21" s="2">
        <v>133</v>
      </c>
      <c r="P21" s="2">
        <f>+O21/$O$3*12</f>
        <v>199.5</v>
      </c>
      <c r="Q21" s="2">
        <v>500</v>
      </c>
      <c r="R21" s="2">
        <v>500</v>
      </c>
      <c r="S21" s="2">
        <v>500</v>
      </c>
      <c r="T21" s="2">
        <v>500</v>
      </c>
      <c r="U21" s="89">
        <f t="shared" si="0"/>
        <v>0</v>
      </c>
    </row>
    <row r="22" spans="1:21" ht="12.75">
      <c r="A22" t="s">
        <v>156</v>
      </c>
      <c r="B22" s="4">
        <v>52.35</v>
      </c>
      <c r="C22" s="2">
        <v>1147</v>
      </c>
      <c r="D22" s="2">
        <v>1230</v>
      </c>
      <c r="E22" s="2">
        <v>1380</v>
      </c>
      <c r="F22" s="2">
        <v>1340</v>
      </c>
      <c r="G22" s="2">
        <v>1256</v>
      </c>
      <c r="H22" s="2">
        <v>695</v>
      </c>
      <c r="I22" s="2">
        <f>1317+43</f>
        <v>1360</v>
      </c>
      <c r="J22" s="2">
        <v>1061</v>
      </c>
      <c r="K22" s="2">
        <v>1602</v>
      </c>
      <c r="L22" s="2">
        <v>672</v>
      </c>
      <c r="M22" s="2">
        <v>1238</v>
      </c>
      <c r="N22" s="2">
        <v>53</v>
      </c>
      <c r="O22" s="2">
        <v>495</v>
      </c>
      <c r="P22" s="2">
        <v>1300</v>
      </c>
      <c r="Q22" s="2">
        <v>1300</v>
      </c>
      <c r="R22" s="2">
        <v>1760</v>
      </c>
      <c r="S22" s="2">
        <v>1300</v>
      </c>
      <c r="T22" s="2">
        <v>1300</v>
      </c>
      <c r="U22" s="89">
        <f t="shared" si="0"/>
        <v>0</v>
      </c>
    </row>
    <row r="23" spans="1:21" ht="12.75">
      <c r="A23" t="s">
        <v>146</v>
      </c>
      <c r="B23" s="4">
        <v>52.3602</v>
      </c>
      <c r="C23" s="2">
        <v>585</v>
      </c>
      <c r="D23" s="2">
        <v>615</v>
      </c>
      <c r="E23" s="2">
        <v>200</v>
      </c>
      <c r="F23" s="2">
        <v>200</v>
      </c>
      <c r="G23" s="2">
        <v>475</v>
      </c>
      <c r="H23" s="2">
        <v>400</v>
      </c>
      <c r="I23" s="2">
        <v>250</v>
      </c>
      <c r="J23" s="2">
        <v>250</v>
      </c>
      <c r="K23" s="2">
        <v>500</v>
      </c>
      <c r="L23" s="2">
        <v>250</v>
      </c>
      <c r="M23" s="2">
        <v>200</v>
      </c>
      <c r="N23" s="2">
        <v>200</v>
      </c>
      <c r="O23" s="2">
        <v>200</v>
      </c>
      <c r="P23" s="2">
        <f>+O23/$O$3*12</f>
        <v>300</v>
      </c>
      <c r="Q23" s="2">
        <v>250</v>
      </c>
      <c r="R23" s="2">
        <v>250</v>
      </c>
      <c r="S23" s="2">
        <v>250</v>
      </c>
      <c r="T23" s="2">
        <v>250</v>
      </c>
      <c r="U23" s="89">
        <f t="shared" si="0"/>
        <v>0</v>
      </c>
    </row>
    <row r="24" spans="1:21" ht="12.75" hidden="1">
      <c r="A24" t="s">
        <v>663</v>
      </c>
      <c r="B24" s="4">
        <v>52.363</v>
      </c>
      <c r="C24" s="2"/>
      <c r="D24" s="2"/>
      <c r="E24" s="2">
        <v>194</v>
      </c>
      <c r="F24" s="2"/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89"/>
    </row>
    <row r="25" spans="1:21" ht="12.75">
      <c r="A25" t="s">
        <v>157</v>
      </c>
      <c r="B25" s="4">
        <v>52.37</v>
      </c>
      <c r="C25" s="2"/>
      <c r="D25" s="2"/>
      <c r="E25" s="2">
        <v>50</v>
      </c>
      <c r="F25" s="2">
        <v>225</v>
      </c>
      <c r="G25" s="2">
        <v>495</v>
      </c>
      <c r="H25" s="2">
        <v>280</v>
      </c>
      <c r="I25" s="2"/>
      <c r="J25" s="2"/>
      <c r="K25" s="2">
        <v>885</v>
      </c>
      <c r="L25" s="2">
        <v>425</v>
      </c>
      <c r="M25" s="2">
        <v>300</v>
      </c>
      <c r="N25" s="2">
        <v>455</v>
      </c>
      <c r="O25" s="2">
        <v>400</v>
      </c>
      <c r="P25" s="2">
        <v>550</v>
      </c>
      <c r="Q25" s="2">
        <v>550</v>
      </c>
      <c r="R25" s="2">
        <v>650</v>
      </c>
      <c r="S25" s="2">
        <v>550</v>
      </c>
      <c r="T25" s="2">
        <v>550</v>
      </c>
      <c r="U25" s="89"/>
    </row>
    <row r="26" spans="1:21" ht="12.75">
      <c r="A26" t="s">
        <v>962</v>
      </c>
      <c r="B26" s="4">
        <v>53.1355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304</v>
      </c>
      <c r="N26" s="2"/>
      <c r="O26" s="2"/>
      <c r="P26" s="2">
        <v>350</v>
      </c>
      <c r="Q26" s="2">
        <v>350</v>
      </c>
      <c r="R26" s="2">
        <v>350</v>
      </c>
      <c r="S26" s="2"/>
      <c r="T26" s="2"/>
      <c r="U26" s="89"/>
    </row>
    <row r="27" spans="1:22" ht="12.75">
      <c r="A27" t="s">
        <v>151</v>
      </c>
      <c r="B27" s="4">
        <v>53.171</v>
      </c>
      <c r="C27" s="2">
        <v>2174</v>
      </c>
      <c r="D27" s="2">
        <v>1318</v>
      </c>
      <c r="E27" s="2">
        <v>1660</v>
      </c>
      <c r="F27" s="2">
        <v>1064</v>
      </c>
      <c r="G27" s="2">
        <v>1744</v>
      </c>
      <c r="H27" s="2">
        <v>1424</v>
      </c>
      <c r="I27" s="2">
        <v>1981</v>
      </c>
      <c r="J27" s="2">
        <v>1873</v>
      </c>
      <c r="K27" s="2">
        <f>2511+148</f>
        <v>2659</v>
      </c>
      <c r="L27" s="2">
        <f>1936+10</f>
        <v>1946</v>
      </c>
      <c r="M27" s="2">
        <v>1861</v>
      </c>
      <c r="N27" s="2">
        <v>2724</v>
      </c>
      <c r="O27" s="2">
        <v>1256</v>
      </c>
      <c r="P27" s="2">
        <v>2000</v>
      </c>
      <c r="Q27" s="2">
        <v>2000</v>
      </c>
      <c r="R27" s="2">
        <v>3000</v>
      </c>
      <c r="S27" s="2">
        <v>2500</v>
      </c>
      <c r="T27" s="2">
        <v>2500</v>
      </c>
      <c r="U27" s="89">
        <f>(T27-Q27)/Q27</f>
        <v>0.25</v>
      </c>
      <c r="V27" s="10" t="s">
        <v>511</v>
      </c>
    </row>
    <row r="28" spans="1:22" ht="12.75">
      <c r="A28" t="s">
        <v>380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2" ht="12.75">
      <c r="A29" t="s">
        <v>618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2000</v>
      </c>
      <c r="S29" s="2"/>
      <c r="T29" s="2"/>
      <c r="U29" s="89"/>
      <c r="V29" s="10" t="s">
        <v>575</v>
      </c>
    </row>
    <row r="30" spans="1:21" ht="12.75" hidden="1">
      <c r="A30" t="s">
        <v>166</v>
      </c>
      <c r="B30" s="4">
        <v>54.25</v>
      </c>
      <c r="C30" s="2"/>
      <c r="D30" s="2"/>
      <c r="E30" s="2">
        <v>222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1" ht="12.75" hidden="1">
      <c r="A31" t="s">
        <v>380</v>
      </c>
      <c r="B31" s="4">
        <v>54.25</v>
      </c>
      <c r="C31" s="2"/>
      <c r="D31" s="2"/>
      <c r="E31" s="2"/>
      <c r="F31" s="2">
        <v>697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9"/>
    </row>
    <row r="32" spans="1:21" ht="12.75">
      <c r="A32" t="s">
        <v>557</v>
      </c>
      <c r="B32" s="4">
        <v>54.24</v>
      </c>
      <c r="C32" s="2"/>
      <c r="D32" s="2">
        <v>485</v>
      </c>
      <c r="E32" s="2"/>
      <c r="F32" s="2"/>
      <c r="G32" s="2">
        <v>723</v>
      </c>
      <c r="H32" s="2">
        <v>517</v>
      </c>
      <c r="I32" s="2">
        <v>549</v>
      </c>
      <c r="J32" s="2">
        <v>6495</v>
      </c>
      <c r="K32" s="2"/>
      <c r="L32" s="2">
        <v>292</v>
      </c>
      <c r="M32" s="2"/>
      <c r="N32" s="2"/>
      <c r="O32" s="2"/>
      <c r="P32" s="2"/>
      <c r="Q32" s="2"/>
      <c r="R32" s="2"/>
      <c r="S32" s="2"/>
      <c r="T32" s="2"/>
      <c r="U32" s="89"/>
    </row>
    <row r="33" spans="1:21" ht="12.75" hidden="1">
      <c r="A33" t="s">
        <v>323</v>
      </c>
      <c r="B33" s="4" t="s">
        <v>120</v>
      </c>
      <c r="C33" s="2">
        <v>368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</row>
    <row r="34" spans="2:21" ht="12.7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1"/>
    </row>
    <row r="35" spans="1:21" ht="12.75">
      <c r="A35" s="6" t="s">
        <v>119</v>
      </c>
      <c r="B35" s="6"/>
      <c r="C35" s="7">
        <f>SUM(C7:C33)</f>
        <v>110541</v>
      </c>
      <c r="D35" s="8">
        <f>SUM(D7:D33)</f>
        <v>115144</v>
      </c>
      <c r="E35" s="8">
        <f>SUM(E7:E34)</f>
        <v>124280</v>
      </c>
      <c r="F35" s="8">
        <f>SUM(F7:F34)</f>
        <v>145209</v>
      </c>
      <c r="G35" s="8">
        <f>SUM(G7:G34)</f>
        <v>146932</v>
      </c>
      <c r="H35" s="8">
        <f>SUM(H7:H34)</f>
        <v>157295</v>
      </c>
      <c r="I35" s="8">
        <f>SUM(I7:I34)</f>
        <v>165730</v>
      </c>
      <c r="J35" s="8">
        <v>192218</v>
      </c>
      <c r="K35" s="8">
        <f>SUM(K7:K34)</f>
        <v>208771</v>
      </c>
      <c r="L35" s="8">
        <v>221746</v>
      </c>
      <c r="M35" s="8">
        <v>237680</v>
      </c>
      <c r="N35" s="8">
        <v>253893</v>
      </c>
      <c r="O35" s="8">
        <f aca="true" t="shared" si="1" ref="O35:T35">SUM(O7:O34)</f>
        <v>173369</v>
      </c>
      <c r="P35" s="8">
        <f t="shared" si="1"/>
        <v>261379</v>
      </c>
      <c r="Q35" s="8">
        <f t="shared" si="1"/>
        <v>266391.12202</v>
      </c>
      <c r="R35" s="8">
        <f t="shared" si="1"/>
        <v>274395.5695</v>
      </c>
      <c r="S35" s="8">
        <f t="shared" si="1"/>
        <v>270685.5695</v>
      </c>
      <c r="T35" s="8">
        <f t="shared" si="1"/>
        <v>270685.5695</v>
      </c>
      <c r="U35" s="51">
        <f>(T35-Q35)/Q35</f>
        <v>0.016120835587296923</v>
      </c>
    </row>
    <row r="37" spans="17:19" ht="12.75">
      <c r="Q37" s="22" t="s">
        <v>484</v>
      </c>
      <c r="R37" s="22"/>
      <c r="S37" s="55">
        <f>R35-S35</f>
        <v>3710</v>
      </c>
    </row>
    <row r="38" spans="17:19" ht="12.75">
      <c r="Q38" s="22" t="s">
        <v>725</v>
      </c>
      <c r="R38" s="22"/>
      <c r="S38" s="55">
        <f>Q35-S35</f>
        <v>-4294.447479999973</v>
      </c>
    </row>
    <row r="39" spans="17:19" ht="12.75">
      <c r="Q39" s="22" t="s">
        <v>432</v>
      </c>
      <c r="R39" s="22"/>
      <c r="S39" s="55">
        <f>S35-T35</f>
        <v>0</v>
      </c>
    </row>
    <row r="40" spans="1:17" ht="12.75">
      <c r="A40" t="s">
        <v>553</v>
      </c>
      <c r="I40" s="42">
        <f>131729+13333</f>
        <v>145062</v>
      </c>
      <c r="J40" s="42">
        <v>195037.34</v>
      </c>
      <c r="K40" s="42">
        <v>200573</v>
      </c>
      <c r="L40" s="42">
        <v>227243</v>
      </c>
      <c r="M40" s="179">
        <v>251439</v>
      </c>
      <c r="N40" s="179">
        <v>270701</v>
      </c>
      <c r="O40" s="18">
        <v>178918</v>
      </c>
      <c r="P40" s="2">
        <f>+O40/$O$3*12</f>
        <v>268377</v>
      </c>
      <c r="Q40" s="18">
        <v>250000</v>
      </c>
    </row>
    <row r="41" spans="1:17" ht="12.75">
      <c r="A41" t="s">
        <v>1013</v>
      </c>
      <c r="B41" t="s">
        <v>130</v>
      </c>
      <c r="K41" s="75">
        <f>K35/K40</f>
        <v>1.0408728991439526</v>
      </c>
      <c r="L41" s="75">
        <v>1.0247896241645846</v>
      </c>
      <c r="M41" s="75">
        <v>1.0578887579939413</v>
      </c>
      <c r="N41" s="75">
        <v>1.0662011162182494</v>
      </c>
      <c r="O41" s="75">
        <f>O40/O35</f>
        <v>1.032006875508309</v>
      </c>
      <c r="P41" s="75">
        <f>P40/P35</f>
        <v>1.0267733827124597</v>
      </c>
      <c r="Q41" s="75">
        <f>Q40/Q35</f>
        <v>0.9384697136462025</v>
      </c>
    </row>
    <row r="43" ht="12.75">
      <c r="A43" s="22" t="s">
        <v>6</v>
      </c>
    </row>
    <row r="44" ht="12.75">
      <c r="A44" t="s">
        <v>1054</v>
      </c>
    </row>
    <row r="45" ht="12.75">
      <c r="A45" t="s">
        <v>1079</v>
      </c>
    </row>
    <row r="46" ht="12.75">
      <c r="A46" t="s">
        <v>1078</v>
      </c>
    </row>
    <row r="47" ht="12.75">
      <c r="A47" s="22"/>
    </row>
    <row r="59" ht="12.75">
      <c r="U59" s="2"/>
    </row>
    <row r="60" ht="12.75">
      <c r="U60" s="2"/>
    </row>
    <row r="61" ht="12.75">
      <c r="U61" s="2"/>
    </row>
    <row r="62" ht="12.75">
      <c r="U62" s="2"/>
    </row>
    <row r="63" spans="3:21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3:2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244"/>
  <sheetViews>
    <sheetView tabSelected="1" workbookViewId="0" topLeftCell="A3">
      <pane ySplit="510" topLeftCell="BM77" activePane="bottomLeft" state="split"/>
      <selection pane="topLeft" activeCell="O2" sqref="O2"/>
      <selection pane="bottomLeft" activeCell="T113" sqref="T113"/>
    </sheetView>
  </sheetViews>
  <sheetFormatPr defaultColWidth="9.140625" defaultRowHeight="12.75"/>
  <cols>
    <col min="1" max="1" width="35.7109375" style="22" customWidth="1"/>
    <col min="2" max="2" width="6.57421875" style="22" bestFit="1" customWidth="1"/>
    <col min="3" max="9" width="8.8515625" style="22" hidden="1" customWidth="1"/>
    <col min="10" max="10" width="9.8515625" style="22" hidden="1" customWidth="1"/>
    <col min="11" max="11" width="8.8515625" style="22" hidden="1" customWidth="1"/>
    <col min="12" max="14" width="9.8515625" style="22" customWidth="1"/>
    <col min="15" max="15" width="10.28125" style="22" bestFit="1" customWidth="1"/>
    <col min="16" max="16" width="9.140625" style="22" customWidth="1"/>
    <col min="17" max="17" width="9.57421875" style="22" customWidth="1"/>
    <col min="18" max="18" width="10.7109375" style="22" hidden="1" customWidth="1"/>
    <col min="19" max="19" width="9.8515625" style="22" customWidth="1"/>
    <col min="20" max="20" width="9.28125" style="22" customWidth="1"/>
    <col min="21" max="21" width="7.28125" style="22" bestFit="1" customWidth="1"/>
    <col min="22" max="22" width="12.57421875" style="22" hidden="1" customWidth="1"/>
    <col min="23" max="23" width="39.421875" style="22" hidden="1" customWidth="1"/>
    <col min="24" max="24" width="9.140625" style="22" hidden="1" customWidth="1"/>
    <col min="25" max="16384" width="9.140625" style="22" customWidth="1"/>
  </cols>
  <sheetData>
    <row r="1" ht="12.75">
      <c r="U1" s="22" t="s">
        <v>792</v>
      </c>
    </row>
    <row r="2" spans="1:22" ht="12.75">
      <c r="A2" s="22" t="s">
        <v>109</v>
      </c>
      <c r="C2" s="26" t="s">
        <v>111</v>
      </c>
      <c r="D2" s="26"/>
      <c r="E2" s="26"/>
      <c r="F2" s="132"/>
      <c r="G2" s="133"/>
      <c r="H2" s="134"/>
      <c r="I2" s="26"/>
      <c r="J2" s="26"/>
      <c r="K2" s="26"/>
      <c r="L2" s="26"/>
      <c r="M2" s="26"/>
      <c r="N2" s="26"/>
      <c r="O2" s="50">
        <v>11</v>
      </c>
      <c r="Q2" s="26"/>
      <c r="R2" s="26"/>
      <c r="S2" s="26"/>
      <c r="T2" s="26" t="s">
        <v>544</v>
      </c>
      <c r="U2" s="26" t="s">
        <v>497</v>
      </c>
      <c r="V2" s="26" t="s">
        <v>497</v>
      </c>
    </row>
    <row r="3" spans="1:22" ht="12.75">
      <c r="A3" s="22" t="s">
        <v>110</v>
      </c>
      <c r="B3" s="22">
        <v>100</v>
      </c>
      <c r="C3" s="26" t="s">
        <v>112</v>
      </c>
      <c r="D3" s="26" t="s">
        <v>421</v>
      </c>
      <c r="E3" s="26" t="s">
        <v>421</v>
      </c>
      <c r="F3" s="26" t="s">
        <v>421</v>
      </c>
      <c r="G3" s="26" t="s">
        <v>421</v>
      </c>
      <c r="H3" s="26" t="s">
        <v>421</v>
      </c>
      <c r="I3" s="26" t="s">
        <v>421</v>
      </c>
      <c r="J3" s="26" t="s">
        <v>421</v>
      </c>
      <c r="K3" s="26" t="s">
        <v>421</v>
      </c>
      <c r="L3" s="26" t="s">
        <v>421</v>
      </c>
      <c r="M3" s="26" t="s">
        <v>421</v>
      </c>
      <c r="N3" s="26" t="s">
        <v>421</v>
      </c>
      <c r="O3" s="26" t="s">
        <v>420</v>
      </c>
      <c r="P3" s="26" t="s">
        <v>441</v>
      </c>
      <c r="Q3" s="26" t="s">
        <v>350</v>
      </c>
      <c r="R3" s="26" t="s">
        <v>45</v>
      </c>
      <c r="S3" s="26" t="s">
        <v>427</v>
      </c>
      <c r="T3" s="26" t="s">
        <v>417</v>
      </c>
      <c r="U3" s="26" t="s">
        <v>423</v>
      </c>
      <c r="V3" s="26" t="s">
        <v>423</v>
      </c>
    </row>
    <row r="4" spans="1:22" ht="12.75">
      <c r="A4" s="45" t="s">
        <v>413</v>
      </c>
      <c r="C4" s="26">
        <v>1999</v>
      </c>
      <c r="D4" s="23">
        <v>2000</v>
      </c>
      <c r="E4" s="23">
        <v>2001</v>
      </c>
      <c r="F4" s="23">
        <v>2002</v>
      </c>
      <c r="G4" s="23">
        <v>2003</v>
      </c>
      <c r="H4" s="23">
        <v>2004</v>
      </c>
      <c r="I4" s="23">
        <v>2005</v>
      </c>
      <c r="J4" s="23">
        <v>2006</v>
      </c>
      <c r="K4" s="23">
        <v>2007</v>
      </c>
      <c r="L4" s="23">
        <v>2008</v>
      </c>
      <c r="M4" s="23">
        <v>2009</v>
      </c>
      <c r="N4" s="23">
        <v>2010</v>
      </c>
      <c r="O4" s="23">
        <v>2011</v>
      </c>
      <c r="P4" s="23">
        <v>2011</v>
      </c>
      <c r="Q4" s="23">
        <v>2011</v>
      </c>
      <c r="R4" s="23" t="s">
        <v>46</v>
      </c>
      <c r="S4" s="23">
        <v>2012</v>
      </c>
      <c r="T4" s="23">
        <v>2012</v>
      </c>
      <c r="U4" s="172" t="s">
        <v>1008</v>
      </c>
      <c r="V4" s="23" t="s">
        <v>939</v>
      </c>
    </row>
    <row r="5" spans="1:23" ht="12.75">
      <c r="A5" s="40" t="s">
        <v>684</v>
      </c>
      <c r="B5" s="41">
        <v>31.11</v>
      </c>
      <c r="C5" s="42">
        <v>2407952</v>
      </c>
      <c r="D5" s="42">
        <v>2464262</v>
      </c>
      <c r="E5" s="42">
        <v>2695752</v>
      </c>
      <c r="F5" s="42">
        <v>3020113</v>
      </c>
      <c r="G5" s="42">
        <v>3241429</v>
      </c>
      <c r="H5" s="42">
        <v>3291749</v>
      </c>
      <c r="I5" s="42">
        <f>3332239+15792</f>
        <v>3348031</v>
      </c>
      <c r="J5" s="42">
        <v>3455420.43</v>
      </c>
      <c r="K5" s="42">
        <v>3398663.65</v>
      </c>
      <c r="L5" s="42">
        <v>3486298</v>
      </c>
      <c r="M5" s="42">
        <v>3624331</v>
      </c>
      <c r="N5" s="42">
        <v>3718176</v>
      </c>
      <c r="O5" s="31">
        <v>3617640</v>
      </c>
      <c r="P5" s="43">
        <v>3650000</v>
      </c>
      <c r="Q5" s="24">
        <v>3600000</v>
      </c>
      <c r="R5" s="24">
        <f>P5-Q5</f>
        <v>50000</v>
      </c>
      <c r="S5" s="24">
        <v>3600000</v>
      </c>
      <c r="T5" s="24">
        <v>3810000</v>
      </c>
      <c r="U5" s="131">
        <f aca="true" t="shared" si="0" ref="U5:U23">(S5-Q5)/Q5</f>
        <v>0</v>
      </c>
      <c r="V5" s="98">
        <f>(T5-Q5)/Q5</f>
        <v>0.058333333333333334</v>
      </c>
      <c r="W5" s="124">
        <v>0.949</v>
      </c>
    </row>
    <row r="6" spans="1:23" ht="12.75">
      <c r="A6" s="40" t="s">
        <v>685</v>
      </c>
      <c r="B6" s="41">
        <v>31.112</v>
      </c>
      <c r="C6" s="42">
        <v>2695</v>
      </c>
      <c r="D6" s="42">
        <v>1788</v>
      </c>
      <c r="E6" s="42">
        <v>1226</v>
      </c>
      <c r="F6" s="42">
        <v>812</v>
      </c>
      <c r="G6" s="42">
        <v>1701</v>
      </c>
      <c r="H6" s="42">
        <v>1322</v>
      </c>
      <c r="I6" s="42">
        <v>2245</v>
      </c>
      <c r="J6" s="42">
        <v>1481</v>
      </c>
      <c r="K6" s="42">
        <v>2131</v>
      </c>
      <c r="L6" s="42">
        <v>2132</v>
      </c>
      <c r="M6" s="42">
        <v>1324</v>
      </c>
      <c r="N6" s="42">
        <v>1164</v>
      </c>
      <c r="O6" s="31">
        <v>847</v>
      </c>
      <c r="P6" s="43">
        <v>1300</v>
      </c>
      <c r="Q6" s="42">
        <v>1300</v>
      </c>
      <c r="R6" s="24">
        <f aca="true" t="shared" si="1" ref="R6:R70">P6-Q6</f>
        <v>0</v>
      </c>
      <c r="S6" s="42">
        <v>1300</v>
      </c>
      <c r="T6" s="42">
        <v>1300</v>
      </c>
      <c r="U6" s="131">
        <f t="shared" si="0"/>
        <v>0</v>
      </c>
      <c r="V6" s="98">
        <f aca="true" t="shared" si="2" ref="V6:V11">(T6-Q6)/Q6</f>
        <v>0</v>
      </c>
      <c r="W6" s="123">
        <v>0.9</v>
      </c>
    </row>
    <row r="7" spans="1:22" ht="12.75">
      <c r="A7" s="40" t="s">
        <v>541</v>
      </c>
      <c r="B7" s="41">
        <v>31.12</v>
      </c>
      <c r="C7" s="42">
        <v>115514</v>
      </c>
      <c r="D7" s="42">
        <v>202282</v>
      </c>
      <c r="E7" s="42">
        <v>137834</v>
      </c>
      <c r="F7" s="42">
        <v>95557</v>
      </c>
      <c r="G7" s="42">
        <v>36183</v>
      </c>
      <c r="H7" s="42">
        <v>5863</v>
      </c>
      <c r="I7" s="42">
        <f>5645+2518</f>
        <v>8163</v>
      </c>
      <c r="J7" s="42">
        <f>11780.67+89</f>
        <v>11869.67</v>
      </c>
      <c r="K7" s="42">
        <v>2072</v>
      </c>
      <c r="L7" s="42">
        <v>615</v>
      </c>
      <c r="M7" s="42">
        <v>177</v>
      </c>
      <c r="N7" s="42">
        <v>537</v>
      </c>
      <c r="O7" s="31">
        <v>1508</v>
      </c>
      <c r="P7" s="31">
        <v>1600</v>
      </c>
      <c r="Q7" s="42">
        <v>600</v>
      </c>
      <c r="R7" s="24">
        <f t="shared" si="1"/>
        <v>1000</v>
      </c>
      <c r="S7" s="42">
        <v>600</v>
      </c>
      <c r="T7" s="42">
        <v>600</v>
      </c>
      <c r="U7" s="131">
        <f t="shared" si="0"/>
        <v>0</v>
      </c>
      <c r="V7" s="98">
        <f t="shared" si="2"/>
        <v>0</v>
      </c>
    </row>
    <row r="8" spans="1:22" ht="12.75">
      <c r="A8" s="40" t="s">
        <v>681</v>
      </c>
      <c r="B8" s="41">
        <v>31.124</v>
      </c>
      <c r="C8" s="42"/>
      <c r="D8" s="42"/>
      <c r="E8" s="42">
        <v>6428</v>
      </c>
      <c r="F8" s="42">
        <v>12393</v>
      </c>
      <c r="G8" s="42">
        <v>1607</v>
      </c>
      <c r="H8" s="42">
        <v>2785</v>
      </c>
      <c r="I8" s="42">
        <f>1344+4</f>
        <v>1348</v>
      </c>
      <c r="J8" s="42">
        <v>738</v>
      </c>
      <c r="K8" s="42">
        <v>507</v>
      </c>
      <c r="L8" s="42">
        <v>409</v>
      </c>
      <c r="M8" s="42">
        <v>288</v>
      </c>
      <c r="N8" s="42">
        <v>298</v>
      </c>
      <c r="O8" s="31">
        <v>60</v>
      </c>
      <c r="P8" s="31">
        <v>300</v>
      </c>
      <c r="Q8" s="42">
        <v>300</v>
      </c>
      <c r="R8" s="24">
        <f t="shared" si="1"/>
        <v>0</v>
      </c>
      <c r="S8" s="42">
        <v>300</v>
      </c>
      <c r="T8" s="42">
        <v>300</v>
      </c>
      <c r="U8" s="131">
        <f t="shared" si="0"/>
        <v>0</v>
      </c>
      <c r="V8" s="98">
        <f t="shared" si="2"/>
        <v>0</v>
      </c>
    </row>
    <row r="9" spans="1:23" ht="12.75">
      <c r="A9" s="40" t="s">
        <v>686</v>
      </c>
      <c r="B9" s="41">
        <v>31.131</v>
      </c>
      <c r="C9" s="42">
        <v>270117</v>
      </c>
      <c r="D9" s="42">
        <v>370437</v>
      </c>
      <c r="E9" s="42">
        <v>315974</v>
      </c>
      <c r="F9" s="42">
        <v>368229</v>
      </c>
      <c r="G9" s="42">
        <v>293803</v>
      </c>
      <c r="H9" s="42">
        <v>268533</v>
      </c>
      <c r="I9" s="42">
        <f>294599+9704</f>
        <v>304303</v>
      </c>
      <c r="J9" s="42">
        <v>271769.89</v>
      </c>
      <c r="K9" s="42">
        <v>277015</v>
      </c>
      <c r="L9" s="42">
        <v>284887</v>
      </c>
      <c r="M9" s="42">
        <v>254691</v>
      </c>
      <c r="N9" s="42">
        <v>244026</v>
      </c>
      <c r="O9" s="31">
        <v>220199</v>
      </c>
      <c r="P9" s="31">
        <f>(12/$O$2)*O9</f>
        <v>240217.09090909088</v>
      </c>
      <c r="Q9" s="42">
        <v>240000</v>
      </c>
      <c r="R9" s="24">
        <f t="shared" si="1"/>
        <v>217.09090909088263</v>
      </c>
      <c r="S9" s="42">
        <v>240000</v>
      </c>
      <c r="T9" s="42">
        <v>240000</v>
      </c>
      <c r="U9" s="131">
        <f t="shared" si="0"/>
        <v>0</v>
      </c>
      <c r="V9" s="98">
        <f t="shared" si="2"/>
        <v>0</v>
      </c>
      <c r="W9" s="123">
        <v>1</v>
      </c>
    </row>
    <row r="10" spans="1:23" ht="12.75">
      <c r="A10" s="40" t="s">
        <v>687</v>
      </c>
      <c r="B10" s="41">
        <v>31.132</v>
      </c>
      <c r="C10" s="42">
        <v>11097</v>
      </c>
      <c r="D10" s="42">
        <v>20186</v>
      </c>
      <c r="E10" s="42">
        <v>17238</v>
      </c>
      <c r="F10" s="42">
        <v>22961</v>
      </c>
      <c r="G10" s="42">
        <v>7704</v>
      </c>
      <c r="H10" s="42">
        <v>6214</v>
      </c>
      <c r="I10" s="42">
        <f>23619+251</f>
        <v>23870</v>
      </c>
      <c r="J10" s="42">
        <v>18327.62</v>
      </c>
      <c r="K10" s="42">
        <v>19889</v>
      </c>
      <c r="L10" s="42">
        <v>20194</v>
      </c>
      <c r="M10" s="42">
        <v>23395</v>
      </c>
      <c r="N10" s="42">
        <v>38738</v>
      </c>
      <c r="O10" s="31">
        <v>9761</v>
      </c>
      <c r="P10" s="31">
        <v>39000</v>
      </c>
      <c r="Q10" s="42">
        <v>43000</v>
      </c>
      <c r="R10" s="24">
        <f t="shared" si="1"/>
        <v>-4000</v>
      </c>
      <c r="S10" s="42">
        <v>39000</v>
      </c>
      <c r="T10" s="42">
        <v>39000</v>
      </c>
      <c r="U10" s="131">
        <f t="shared" si="0"/>
        <v>-0.09302325581395349</v>
      </c>
      <c r="V10" s="98">
        <f t="shared" si="2"/>
        <v>-0.09302325581395349</v>
      </c>
      <c r="W10" s="123">
        <v>0.66</v>
      </c>
    </row>
    <row r="11" spans="1:23" ht="12.75">
      <c r="A11" s="40" t="s">
        <v>542</v>
      </c>
      <c r="B11" s="41">
        <v>31.1321</v>
      </c>
      <c r="C11" s="42">
        <v>401</v>
      </c>
      <c r="D11" s="42">
        <v>8531</v>
      </c>
      <c r="E11" s="42">
        <v>9056</v>
      </c>
      <c r="F11" s="42">
        <v>4758</v>
      </c>
      <c r="G11" s="42">
        <v>2966</v>
      </c>
      <c r="H11" s="42">
        <v>31976</v>
      </c>
      <c r="I11" s="42">
        <f>1711+26</f>
        <v>1737</v>
      </c>
      <c r="J11" s="42">
        <v>654</v>
      </c>
      <c r="K11" s="42">
        <v>444</v>
      </c>
      <c r="L11" s="42">
        <v>1610</v>
      </c>
      <c r="M11" s="42">
        <v>1340</v>
      </c>
      <c r="N11" s="42">
        <v>-29</v>
      </c>
      <c r="O11" s="31">
        <v>281</v>
      </c>
      <c r="P11" s="31">
        <v>1000</v>
      </c>
      <c r="Q11" s="42">
        <v>1300</v>
      </c>
      <c r="R11" s="24">
        <f t="shared" si="1"/>
        <v>-300</v>
      </c>
      <c r="S11" s="42">
        <v>1300</v>
      </c>
      <c r="T11" s="42">
        <v>1300</v>
      </c>
      <c r="U11" s="131">
        <f t="shared" si="0"/>
        <v>0</v>
      </c>
      <c r="V11" s="98">
        <f t="shared" si="2"/>
        <v>0</v>
      </c>
      <c r="W11" s="4"/>
    </row>
    <row r="12" spans="1:23" ht="12.75" hidden="1">
      <c r="A12" s="40" t="s">
        <v>801</v>
      </c>
      <c r="B12" s="41">
        <v>31.1322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>
        <v>0</v>
      </c>
      <c r="N12" s="42"/>
      <c r="O12" s="31"/>
      <c r="P12" s="31"/>
      <c r="Q12" s="42"/>
      <c r="R12" s="24">
        <f t="shared" si="1"/>
        <v>0</v>
      </c>
      <c r="S12" s="42"/>
      <c r="T12" s="42"/>
      <c r="U12" s="131" t="e">
        <f t="shared" si="0"/>
        <v>#DIV/0!</v>
      </c>
      <c r="V12" s="98"/>
      <c r="W12" s="4"/>
    </row>
    <row r="13" spans="1:23" ht="12.75">
      <c r="A13" s="40" t="s">
        <v>669</v>
      </c>
      <c r="B13" s="41">
        <v>31.134</v>
      </c>
      <c r="C13" s="42">
        <v>82450</v>
      </c>
      <c r="D13" s="42">
        <v>92077</v>
      </c>
      <c r="E13" s="42">
        <v>124417</v>
      </c>
      <c r="F13" s="42">
        <v>145359</v>
      </c>
      <c r="G13" s="42">
        <v>192419</v>
      </c>
      <c r="H13" s="42">
        <v>163471</v>
      </c>
      <c r="I13" s="42">
        <f>165961+6033</f>
        <v>171994</v>
      </c>
      <c r="J13" s="42">
        <v>166525.85</v>
      </c>
      <c r="K13" s="42">
        <v>181152</v>
      </c>
      <c r="L13" s="42">
        <v>137203</v>
      </c>
      <c r="M13" s="42">
        <v>114878</v>
      </c>
      <c r="N13" s="42">
        <v>96697</v>
      </c>
      <c r="O13" s="31">
        <v>82500</v>
      </c>
      <c r="P13" s="31">
        <f>(12/$O$2)*O13</f>
        <v>90000</v>
      </c>
      <c r="Q13" s="42">
        <v>111000</v>
      </c>
      <c r="R13" s="24">
        <f t="shared" si="1"/>
        <v>-21000</v>
      </c>
      <c r="S13" s="42">
        <v>92000</v>
      </c>
      <c r="T13" s="42">
        <v>100000</v>
      </c>
      <c r="U13" s="131">
        <f t="shared" si="0"/>
        <v>-0.17117117117117117</v>
      </c>
      <c r="V13" s="98">
        <f>(T13-Q13)/Q13</f>
        <v>-0.0990990990990991</v>
      </c>
      <c r="W13" s="4"/>
    </row>
    <row r="14" spans="1:23" ht="12.75">
      <c r="A14" s="40" t="s">
        <v>543</v>
      </c>
      <c r="B14" s="41">
        <v>31.135</v>
      </c>
      <c r="C14" s="42"/>
      <c r="D14" s="42">
        <v>1240</v>
      </c>
      <c r="E14" s="42">
        <v>1337</v>
      </c>
      <c r="F14" s="42">
        <v>1553</v>
      </c>
      <c r="G14" s="42">
        <v>1538</v>
      </c>
      <c r="H14" s="42">
        <v>1521</v>
      </c>
      <c r="I14" s="42">
        <v>1283</v>
      </c>
      <c r="J14" s="42">
        <v>1348</v>
      </c>
      <c r="K14" s="42">
        <v>1175</v>
      </c>
      <c r="L14" s="42">
        <v>1244</v>
      </c>
      <c r="M14" s="42">
        <v>1274</v>
      </c>
      <c r="N14" s="42">
        <v>1424</v>
      </c>
      <c r="O14" s="139">
        <v>1698</v>
      </c>
      <c r="P14" s="31">
        <v>1700</v>
      </c>
      <c r="Q14" s="42">
        <v>1400</v>
      </c>
      <c r="R14" s="24">
        <f t="shared" si="1"/>
        <v>300</v>
      </c>
      <c r="S14" s="42">
        <v>1700</v>
      </c>
      <c r="T14" s="42">
        <v>1700</v>
      </c>
      <c r="U14" s="131">
        <f t="shared" si="0"/>
        <v>0.21428571428571427</v>
      </c>
      <c r="V14" s="98">
        <f>(T14-Q14)/Q14</f>
        <v>0.21428571428571427</v>
      </c>
      <c r="W14" s="4"/>
    </row>
    <row r="15" spans="1:22" ht="14.25" customHeight="1">
      <c r="A15" s="40" t="s">
        <v>606</v>
      </c>
      <c r="B15" s="41">
        <v>31.1389</v>
      </c>
      <c r="C15" s="42"/>
      <c r="D15" s="42"/>
      <c r="E15" s="42"/>
      <c r="F15" s="42"/>
      <c r="G15" s="42"/>
      <c r="H15" s="42"/>
      <c r="I15" s="42">
        <f>237+773</f>
        <v>1010</v>
      </c>
      <c r="J15" s="42">
        <v>1779</v>
      </c>
      <c r="K15" s="42">
        <v>8006</v>
      </c>
      <c r="L15" s="42">
        <v>3828</v>
      </c>
      <c r="M15" s="42">
        <v>1999</v>
      </c>
      <c r="N15" s="42">
        <v>60</v>
      </c>
      <c r="O15" s="31"/>
      <c r="P15" s="31">
        <f>(12/$O$2)*O15</f>
        <v>0</v>
      </c>
      <c r="Q15" s="42">
        <v>100</v>
      </c>
      <c r="R15" s="24">
        <f t="shared" si="1"/>
        <v>-100</v>
      </c>
      <c r="S15" s="42">
        <v>100</v>
      </c>
      <c r="T15" s="42">
        <v>100</v>
      </c>
      <c r="U15" s="131">
        <f t="shared" si="0"/>
        <v>0</v>
      </c>
      <c r="V15" s="98"/>
    </row>
    <row r="16" spans="1:22" ht="12.75">
      <c r="A16" s="44" t="s">
        <v>545</v>
      </c>
      <c r="B16" s="41">
        <v>31.139</v>
      </c>
      <c r="C16" s="42"/>
      <c r="E16" s="42">
        <v>2757</v>
      </c>
      <c r="F16" s="42"/>
      <c r="G16" s="42"/>
      <c r="H16" s="42"/>
      <c r="I16" s="42"/>
      <c r="J16" s="42">
        <v>9292.01</v>
      </c>
      <c r="K16" s="42">
        <v>6093</v>
      </c>
      <c r="L16" s="42">
        <v>889</v>
      </c>
      <c r="M16" s="42">
        <v>386</v>
      </c>
      <c r="N16" s="42">
        <v>186</v>
      </c>
      <c r="O16" s="31">
        <v>60</v>
      </c>
      <c r="P16" s="31">
        <f>(12/$O$2)*O16</f>
        <v>65.45454545454545</v>
      </c>
      <c r="Q16" s="42">
        <v>200</v>
      </c>
      <c r="R16" s="24">
        <f t="shared" si="1"/>
        <v>-134.54545454545456</v>
      </c>
      <c r="S16" s="42">
        <v>200</v>
      </c>
      <c r="T16" s="42">
        <v>200</v>
      </c>
      <c r="U16" s="131">
        <f t="shared" si="0"/>
        <v>0</v>
      </c>
      <c r="V16" s="98"/>
    </row>
    <row r="17" spans="1:22" ht="12.75">
      <c r="A17" s="44" t="s">
        <v>546</v>
      </c>
      <c r="B17" s="41">
        <v>31.1391</v>
      </c>
      <c r="C17" s="42"/>
      <c r="E17" s="42">
        <v>1371</v>
      </c>
      <c r="F17" s="42">
        <v>3480</v>
      </c>
      <c r="G17" s="42">
        <v>3405</v>
      </c>
      <c r="H17" s="42">
        <v>526</v>
      </c>
      <c r="I17" s="42">
        <f>2700+100</f>
        <v>2800</v>
      </c>
      <c r="J17" s="42">
        <v>3935</v>
      </c>
      <c r="K17" s="42">
        <v>4255</v>
      </c>
      <c r="L17" s="42">
        <v>3978</v>
      </c>
      <c r="M17" s="42">
        <v>4142</v>
      </c>
      <c r="N17" s="42">
        <v>3791</v>
      </c>
      <c r="O17" s="43">
        <v>3258</v>
      </c>
      <c r="P17" s="31">
        <f aca="true" t="shared" si="3" ref="P17:P23">(12/$O$2)*O17</f>
        <v>3554.181818181818</v>
      </c>
      <c r="Q17" s="42">
        <v>4000</v>
      </c>
      <c r="R17" s="24">
        <f t="shared" si="1"/>
        <v>-445.818181818182</v>
      </c>
      <c r="S17" s="42">
        <v>3500</v>
      </c>
      <c r="T17" s="42">
        <v>3500</v>
      </c>
      <c r="U17" s="131">
        <f t="shared" si="0"/>
        <v>-0.125</v>
      </c>
      <c r="V17" s="98"/>
    </row>
    <row r="18" spans="1:22" ht="12.75">
      <c r="A18" s="44" t="s">
        <v>419</v>
      </c>
      <c r="B18" s="41">
        <v>31.1392</v>
      </c>
      <c r="C18" s="42"/>
      <c r="E18" s="42">
        <v>25</v>
      </c>
      <c r="F18" s="42">
        <v>76</v>
      </c>
      <c r="G18" s="42">
        <v>77</v>
      </c>
      <c r="H18" s="42">
        <v>55</v>
      </c>
      <c r="I18" s="42">
        <v>43</v>
      </c>
      <c r="J18" s="42">
        <v>59</v>
      </c>
      <c r="K18" s="42">
        <v>37</v>
      </c>
      <c r="L18" s="42">
        <v>295</v>
      </c>
      <c r="M18" s="42">
        <v>1</v>
      </c>
      <c r="N18" s="42">
        <v>1</v>
      </c>
      <c r="O18" s="31"/>
      <c r="P18" s="31">
        <f t="shared" si="3"/>
        <v>0</v>
      </c>
      <c r="Q18" s="42"/>
      <c r="R18" s="24">
        <f t="shared" si="1"/>
        <v>0</v>
      </c>
      <c r="S18" s="42"/>
      <c r="T18" s="42"/>
      <c r="U18" s="131"/>
      <c r="V18" s="98"/>
    </row>
    <row r="19" spans="1:22" ht="12.75" hidden="1">
      <c r="A19" s="44" t="s">
        <v>596</v>
      </c>
      <c r="B19" s="41">
        <v>31.1394</v>
      </c>
      <c r="C19" s="42"/>
      <c r="D19" s="42">
        <v>5419</v>
      </c>
      <c r="E19" s="42">
        <v>1138</v>
      </c>
      <c r="F19" s="42">
        <v>2836</v>
      </c>
      <c r="G19" s="42"/>
      <c r="H19" s="42"/>
      <c r="I19" s="42"/>
      <c r="J19" s="42"/>
      <c r="K19" s="42"/>
      <c r="L19" s="42"/>
      <c r="M19" s="42"/>
      <c r="N19" s="42"/>
      <c r="O19" s="43"/>
      <c r="P19" s="31">
        <f t="shared" si="3"/>
        <v>0</v>
      </c>
      <c r="Q19" s="42"/>
      <c r="R19" s="24">
        <f t="shared" si="1"/>
        <v>0</v>
      </c>
      <c r="S19" s="42"/>
      <c r="T19" s="42"/>
      <c r="U19" s="131" t="e">
        <f t="shared" si="0"/>
        <v>#DIV/0!</v>
      </c>
      <c r="V19" s="98"/>
    </row>
    <row r="20" spans="1:22" ht="12.75">
      <c r="A20" s="22" t="s">
        <v>547</v>
      </c>
      <c r="B20" s="41">
        <v>31.1395</v>
      </c>
      <c r="C20" s="42"/>
      <c r="D20" s="42"/>
      <c r="E20" s="42"/>
      <c r="F20" s="42">
        <v>500</v>
      </c>
      <c r="G20" s="42">
        <v>600</v>
      </c>
      <c r="H20" s="42">
        <v>800</v>
      </c>
      <c r="I20" s="42">
        <v>760</v>
      </c>
      <c r="J20" s="42">
        <v>680</v>
      </c>
      <c r="K20" s="42">
        <v>820</v>
      </c>
      <c r="L20" s="42">
        <v>735</v>
      </c>
      <c r="M20" s="42">
        <v>760</v>
      </c>
      <c r="N20" s="42">
        <v>830</v>
      </c>
      <c r="O20" s="31">
        <v>780</v>
      </c>
      <c r="P20" s="31">
        <f t="shared" si="3"/>
        <v>850.9090909090909</v>
      </c>
      <c r="Q20" s="42">
        <v>800</v>
      </c>
      <c r="R20" s="24">
        <f t="shared" si="1"/>
        <v>50.90909090909088</v>
      </c>
      <c r="S20" s="42">
        <v>800</v>
      </c>
      <c r="T20" s="42">
        <v>800</v>
      </c>
      <c r="U20" s="131">
        <f t="shared" si="0"/>
        <v>0</v>
      </c>
      <c r="V20" s="98"/>
    </row>
    <row r="21" spans="1:22" ht="12.75">
      <c r="A21" s="40" t="s">
        <v>548</v>
      </c>
      <c r="B21" s="41">
        <v>31.1396</v>
      </c>
      <c r="C21" s="42">
        <v>14871</v>
      </c>
      <c r="D21" s="42">
        <v>25630</v>
      </c>
      <c r="E21" s="42">
        <v>34695</v>
      </c>
      <c r="F21" s="42">
        <v>9040</v>
      </c>
      <c r="G21" s="42">
        <v>3755</v>
      </c>
      <c r="H21" s="42">
        <v>3365</v>
      </c>
      <c r="I21" s="42">
        <v>7466</v>
      </c>
      <c r="J21" s="42">
        <v>18228</v>
      </c>
      <c r="K21" s="42">
        <v>19633</v>
      </c>
      <c r="L21" s="42">
        <v>15339</v>
      </c>
      <c r="M21" s="42">
        <v>4013</v>
      </c>
      <c r="N21" s="42">
        <v>2257</v>
      </c>
      <c r="O21" s="31">
        <v>820</v>
      </c>
      <c r="P21" s="31">
        <f t="shared" si="3"/>
        <v>894.5454545454545</v>
      </c>
      <c r="Q21" s="42">
        <v>4000</v>
      </c>
      <c r="R21" s="24">
        <f t="shared" si="1"/>
        <v>-3105.4545454545455</v>
      </c>
      <c r="S21" s="42">
        <v>1500</v>
      </c>
      <c r="T21" s="42">
        <v>1500</v>
      </c>
      <c r="U21" s="131">
        <f t="shared" si="0"/>
        <v>-0.625</v>
      </c>
      <c r="V21" s="98">
        <f>(T21-Q21)/Q21</f>
        <v>-0.625</v>
      </c>
    </row>
    <row r="22" spans="1:22" ht="12.75">
      <c r="A22" s="40" t="s">
        <v>549</v>
      </c>
      <c r="B22" s="41">
        <v>31.1397</v>
      </c>
      <c r="C22" s="42">
        <v>204126</v>
      </c>
      <c r="D22" s="42">
        <v>220751</v>
      </c>
      <c r="E22" s="42">
        <v>229760</v>
      </c>
      <c r="F22" s="42">
        <v>231861</v>
      </c>
      <c r="G22" s="42">
        <v>234423</v>
      </c>
      <c r="H22" s="42">
        <v>260059</v>
      </c>
      <c r="I22" s="42">
        <f>262340+2603</f>
        <v>264943</v>
      </c>
      <c r="J22" s="42">
        <v>291205</v>
      </c>
      <c r="K22" s="42">
        <v>301679</v>
      </c>
      <c r="L22" s="42">
        <v>324755</v>
      </c>
      <c r="M22" s="42">
        <v>332460</v>
      </c>
      <c r="N22" s="42">
        <v>336848</v>
      </c>
      <c r="O22" s="31">
        <v>324271</v>
      </c>
      <c r="P22" s="31">
        <v>335000</v>
      </c>
      <c r="Q22" s="42">
        <v>335000</v>
      </c>
      <c r="R22" s="24">
        <f t="shared" si="1"/>
        <v>0</v>
      </c>
      <c r="S22" s="42">
        <v>335000</v>
      </c>
      <c r="T22" s="42">
        <v>335000</v>
      </c>
      <c r="U22" s="131">
        <f t="shared" si="0"/>
        <v>0</v>
      </c>
      <c r="V22" s="98">
        <f>(T22-Q22)/Q22</f>
        <v>0</v>
      </c>
    </row>
    <row r="23" spans="1:22" ht="12.75">
      <c r="A23" s="40" t="s">
        <v>550</v>
      </c>
      <c r="B23" s="41">
        <v>31.1398</v>
      </c>
      <c r="C23" s="42">
        <v>26596</v>
      </c>
      <c r="D23" s="42">
        <v>33813</v>
      </c>
      <c r="E23" s="42">
        <v>31822</v>
      </c>
      <c r="F23" s="42">
        <v>31679</v>
      </c>
      <c r="G23" s="42">
        <v>33639</v>
      </c>
      <c r="H23" s="42">
        <v>37953</v>
      </c>
      <c r="I23" s="42">
        <f>50506+1751</f>
        <v>52257</v>
      </c>
      <c r="J23" s="42">
        <v>44872</v>
      </c>
      <c r="K23" s="42">
        <v>41455</v>
      </c>
      <c r="L23" s="42">
        <v>54664</v>
      </c>
      <c r="M23" s="42">
        <v>44971</v>
      </c>
      <c r="N23" s="42">
        <v>46489</v>
      </c>
      <c r="O23" s="31">
        <v>40491</v>
      </c>
      <c r="P23" s="31">
        <f t="shared" si="3"/>
        <v>44172</v>
      </c>
      <c r="Q23" s="42">
        <v>45000</v>
      </c>
      <c r="R23" s="24">
        <f t="shared" si="1"/>
        <v>-828</v>
      </c>
      <c r="S23" s="42">
        <v>45000</v>
      </c>
      <c r="T23" s="42">
        <v>45000</v>
      </c>
      <c r="U23" s="131">
        <f t="shared" si="0"/>
        <v>0</v>
      </c>
      <c r="V23" s="98">
        <f>(T23-Q23)/Q23</f>
        <v>0</v>
      </c>
    </row>
    <row r="24" spans="1:22" ht="12.75" hidden="1">
      <c r="A24" s="40" t="s">
        <v>567</v>
      </c>
      <c r="B24" s="41">
        <v>31.1399</v>
      </c>
      <c r="C24" s="42">
        <v>2700</v>
      </c>
      <c r="D24" s="42">
        <v>2500</v>
      </c>
      <c r="E24" s="42">
        <v>2600</v>
      </c>
      <c r="F24" s="42">
        <v>2428</v>
      </c>
      <c r="G24" s="42"/>
      <c r="H24" s="42">
        <v>18192</v>
      </c>
      <c r="I24" s="42"/>
      <c r="J24" s="42"/>
      <c r="K24" s="42"/>
      <c r="L24" s="42"/>
      <c r="M24" s="42"/>
      <c r="N24" s="42"/>
      <c r="O24" s="43"/>
      <c r="P24" s="31"/>
      <c r="Q24" s="42"/>
      <c r="R24" s="24">
        <f t="shared" si="1"/>
        <v>0</v>
      </c>
      <c r="S24" s="42"/>
      <c r="T24" s="42"/>
      <c r="U24" s="131"/>
      <c r="V24" s="98"/>
    </row>
    <row r="25" spans="1:22" ht="0.75" customHeight="1" hidden="1">
      <c r="A25" s="40" t="s">
        <v>700</v>
      </c>
      <c r="B25" s="41">
        <v>31.1401</v>
      </c>
      <c r="C25" s="42"/>
      <c r="D25" s="42"/>
      <c r="E25" s="42"/>
      <c r="F25" s="42"/>
      <c r="G25" s="42"/>
      <c r="H25" s="42"/>
      <c r="I25" s="42"/>
      <c r="J25" s="42">
        <v>640</v>
      </c>
      <c r="K25" s="42"/>
      <c r="L25" s="42"/>
      <c r="M25" s="42"/>
      <c r="N25" s="42"/>
      <c r="O25" s="31"/>
      <c r="P25" s="31"/>
      <c r="Q25" s="42"/>
      <c r="R25" s="24">
        <f t="shared" si="1"/>
        <v>0</v>
      </c>
      <c r="S25" s="42"/>
      <c r="T25" s="42"/>
      <c r="U25" s="131"/>
      <c r="V25" s="98"/>
    </row>
    <row r="26" spans="1:22" ht="12.75">
      <c r="A26" s="40" t="s">
        <v>568</v>
      </c>
      <c r="B26" s="41">
        <v>31.15</v>
      </c>
      <c r="C26" s="42">
        <v>19682</v>
      </c>
      <c r="D26" s="42">
        <v>5304</v>
      </c>
      <c r="E26" s="42">
        <v>12501</v>
      </c>
      <c r="F26" s="42">
        <v>49173</v>
      </c>
      <c r="G26" s="42">
        <v>7346</v>
      </c>
      <c r="H26" s="42">
        <v>19928</v>
      </c>
      <c r="I26" s="42">
        <v>30870</v>
      </c>
      <c r="J26" s="42">
        <v>4117.12</v>
      </c>
      <c r="K26" s="42">
        <v>55980.41</v>
      </c>
      <c r="L26" s="42">
        <v>11422</v>
      </c>
      <c r="M26" s="42">
        <v>4918</v>
      </c>
      <c r="N26" s="42">
        <v>3127</v>
      </c>
      <c r="O26" s="31">
        <v>15185</v>
      </c>
      <c r="P26" s="31">
        <v>15200</v>
      </c>
      <c r="Q26" s="42">
        <v>3200</v>
      </c>
      <c r="R26" s="24">
        <f t="shared" si="1"/>
        <v>12000</v>
      </c>
      <c r="S26" s="42">
        <v>15500</v>
      </c>
      <c r="T26" s="42">
        <v>15500</v>
      </c>
      <c r="U26" s="131">
        <f aca="true" t="shared" si="4" ref="U26:U31">(S26-Q26)/Q26</f>
        <v>3.84375</v>
      </c>
      <c r="V26" s="98">
        <f aca="true" t="shared" si="5" ref="V26:V31">(T26-Q26)/Q26</f>
        <v>3.84375</v>
      </c>
    </row>
    <row r="27" spans="1:22" ht="12.75">
      <c r="A27" s="40" t="s">
        <v>827</v>
      </c>
      <c r="B27" s="41">
        <v>31.16</v>
      </c>
      <c r="C27" s="42">
        <v>21224</v>
      </c>
      <c r="D27" s="42">
        <v>27225</v>
      </c>
      <c r="E27" s="42">
        <v>29905</v>
      </c>
      <c r="F27" s="42">
        <v>22988</v>
      </c>
      <c r="G27" s="42">
        <v>29255</v>
      </c>
      <c r="H27" s="42">
        <v>53251</v>
      </c>
      <c r="I27" s="42">
        <v>49637</v>
      </c>
      <c r="J27" s="42">
        <v>71408.6</v>
      </c>
      <c r="K27" s="42">
        <v>63221</v>
      </c>
      <c r="L27" s="42">
        <f>28943+1649</f>
        <v>30592</v>
      </c>
      <c r="M27" s="42">
        <v>23349</v>
      </c>
      <c r="N27" s="42">
        <v>18538</v>
      </c>
      <c r="O27" s="31">
        <v>15130</v>
      </c>
      <c r="P27" s="31">
        <f>(12/$O$2)*O27</f>
        <v>16505.454545454544</v>
      </c>
      <c r="Q27" s="42">
        <v>22000</v>
      </c>
      <c r="R27" s="24">
        <f t="shared" si="1"/>
        <v>-5494.545454545456</v>
      </c>
      <c r="S27" s="42">
        <v>19000</v>
      </c>
      <c r="T27" s="42">
        <v>19000</v>
      </c>
      <c r="U27" s="131">
        <f t="shared" si="4"/>
        <v>-0.13636363636363635</v>
      </c>
      <c r="V27" s="98">
        <f t="shared" si="5"/>
        <v>-0.13636363636363635</v>
      </c>
    </row>
    <row r="28" spans="1:22" ht="12.75">
      <c r="A28" s="40" t="s">
        <v>828</v>
      </c>
      <c r="B28" s="41">
        <v>31.1751</v>
      </c>
      <c r="C28" s="42">
        <v>28437</v>
      </c>
      <c r="D28" s="42">
        <v>34312</v>
      </c>
      <c r="E28" s="42">
        <v>31394</v>
      </c>
      <c r="F28" s="42">
        <v>33261</v>
      </c>
      <c r="G28" s="42">
        <v>34448</v>
      </c>
      <c r="H28" s="42">
        <v>33206</v>
      </c>
      <c r="I28" s="42">
        <v>29744</v>
      </c>
      <c r="J28" s="42">
        <v>26457</v>
      </c>
      <c r="K28" s="42">
        <v>26634</v>
      </c>
      <c r="L28" s="42">
        <v>26832</v>
      </c>
      <c r="M28" s="42">
        <v>27427</v>
      </c>
      <c r="N28" s="42">
        <v>26218</v>
      </c>
      <c r="O28" s="31">
        <v>24611</v>
      </c>
      <c r="P28" s="31">
        <v>27000</v>
      </c>
      <c r="Q28" s="42">
        <v>27000</v>
      </c>
      <c r="R28" s="24">
        <f t="shared" si="1"/>
        <v>0</v>
      </c>
      <c r="S28" s="42">
        <v>27000</v>
      </c>
      <c r="T28" s="42">
        <v>27000</v>
      </c>
      <c r="U28" s="131">
        <f t="shared" si="4"/>
        <v>0</v>
      </c>
      <c r="V28" s="98">
        <f t="shared" si="5"/>
        <v>0</v>
      </c>
    </row>
    <row r="29" spans="1:22" ht="12.75">
      <c r="A29" s="40" t="s">
        <v>829</v>
      </c>
      <c r="B29" s="41">
        <v>31.1752</v>
      </c>
      <c r="C29" s="42">
        <v>287</v>
      </c>
      <c r="D29" s="42">
        <v>294</v>
      </c>
      <c r="E29" s="42">
        <v>269</v>
      </c>
      <c r="F29" s="42">
        <v>269</v>
      </c>
      <c r="G29" s="42">
        <v>294</v>
      </c>
      <c r="H29" s="42">
        <v>481</v>
      </c>
      <c r="I29" s="42">
        <v>424</v>
      </c>
      <c r="J29" s="42">
        <v>449.32</v>
      </c>
      <c r="K29" s="42">
        <v>302</v>
      </c>
      <c r="L29" s="42">
        <f>353+82</f>
        <v>435</v>
      </c>
      <c r="M29" s="42">
        <v>281</v>
      </c>
      <c r="N29" s="42">
        <v>415</v>
      </c>
      <c r="O29" s="31">
        <v>342</v>
      </c>
      <c r="P29" s="31">
        <v>300</v>
      </c>
      <c r="Q29" s="42">
        <v>300</v>
      </c>
      <c r="R29" s="24">
        <f t="shared" si="1"/>
        <v>0</v>
      </c>
      <c r="S29" s="42">
        <v>300</v>
      </c>
      <c r="T29" s="42">
        <v>300</v>
      </c>
      <c r="U29" s="131">
        <f t="shared" si="4"/>
        <v>0</v>
      </c>
      <c r="V29" s="98">
        <f t="shared" si="5"/>
        <v>0</v>
      </c>
    </row>
    <row r="30" spans="1:22" ht="12.75">
      <c r="A30" s="40" t="s">
        <v>830</v>
      </c>
      <c r="B30" s="41">
        <v>31.1753</v>
      </c>
      <c r="C30" s="42">
        <v>2515</v>
      </c>
      <c r="D30" s="42">
        <v>2781</v>
      </c>
      <c r="E30" s="42">
        <v>3065</v>
      </c>
      <c r="F30" s="42"/>
      <c r="G30" s="42">
        <v>3066</v>
      </c>
      <c r="H30" s="42"/>
      <c r="I30" s="42">
        <f>8047+715</f>
        <v>8762</v>
      </c>
      <c r="J30" s="42">
        <v>2607</v>
      </c>
      <c r="K30" s="42">
        <v>4345</v>
      </c>
      <c r="L30" s="42">
        <f>2607+869</f>
        <v>3476</v>
      </c>
      <c r="M30" s="42">
        <v>3476</v>
      </c>
      <c r="N30" s="42">
        <v>2607</v>
      </c>
      <c r="O30" s="31">
        <v>2258</v>
      </c>
      <c r="P30" s="31">
        <v>3000</v>
      </c>
      <c r="Q30" s="42">
        <v>3400</v>
      </c>
      <c r="R30" s="24">
        <f t="shared" si="1"/>
        <v>-400</v>
      </c>
      <c r="S30" s="42">
        <v>3000</v>
      </c>
      <c r="T30" s="42">
        <v>3000</v>
      </c>
      <c r="U30" s="131">
        <f t="shared" si="4"/>
        <v>-0.11764705882352941</v>
      </c>
      <c r="V30" s="98">
        <f t="shared" si="5"/>
        <v>-0.11764705882352941</v>
      </c>
    </row>
    <row r="31" spans="1:22" ht="12.75">
      <c r="A31" s="40" t="s">
        <v>831</v>
      </c>
      <c r="B31" s="41">
        <v>31.1754</v>
      </c>
      <c r="C31" s="42">
        <v>4312</v>
      </c>
      <c r="D31" s="42">
        <v>2539</v>
      </c>
      <c r="E31" s="42">
        <v>7126</v>
      </c>
      <c r="F31" s="42">
        <v>2717</v>
      </c>
      <c r="G31" s="42">
        <v>8580</v>
      </c>
      <c r="H31" s="42">
        <v>6846</v>
      </c>
      <c r="I31" s="42">
        <v>11396</v>
      </c>
      <c r="J31" s="42">
        <v>29013</v>
      </c>
      <c r="K31" s="42">
        <v>35916</v>
      </c>
      <c r="L31" s="42">
        <v>38133</v>
      </c>
      <c r="M31" s="42">
        <v>38760</v>
      </c>
      <c r="N31" s="42">
        <v>41583</v>
      </c>
      <c r="O31" s="31">
        <v>41020</v>
      </c>
      <c r="P31" s="31">
        <v>41000</v>
      </c>
      <c r="Q31" s="42">
        <v>41000</v>
      </c>
      <c r="R31" s="24">
        <f t="shared" si="1"/>
        <v>0</v>
      </c>
      <c r="S31" s="42">
        <v>41000</v>
      </c>
      <c r="T31" s="42">
        <v>41000</v>
      </c>
      <c r="U31" s="131">
        <f t="shared" si="4"/>
        <v>0</v>
      </c>
      <c r="V31" s="98">
        <f t="shared" si="5"/>
        <v>0</v>
      </c>
    </row>
    <row r="32" spans="1:22" ht="12.75" hidden="1">
      <c r="A32" s="40" t="s">
        <v>832</v>
      </c>
      <c r="B32" s="41">
        <v>31.1755</v>
      </c>
      <c r="C32" s="42"/>
      <c r="D32" s="42"/>
      <c r="E32" s="42"/>
      <c r="F32" s="42"/>
      <c r="G32" s="42"/>
      <c r="H32" s="42"/>
      <c r="I32" s="42">
        <v>869</v>
      </c>
      <c r="J32" s="42"/>
      <c r="K32" s="42"/>
      <c r="L32" s="42"/>
      <c r="M32" s="42"/>
      <c r="N32" s="42"/>
      <c r="O32" s="43"/>
      <c r="P32" s="31"/>
      <c r="Q32" s="42"/>
      <c r="R32" s="24">
        <f t="shared" si="1"/>
        <v>0</v>
      </c>
      <c r="S32" s="42"/>
      <c r="T32" s="42"/>
      <c r="U32" s="131"/>
      <c r="V32" s="98"/>
    </row>
    <row r="33" spans="1:22" ht="12.75">
      <c r="A33" s="47" t="s">
        <v>753</v>
      </c>
      <c r="B33" s="41">
        <v>31.31</v>
      </c>
      <c r="C33" s="42">
        <v>1334882</v>
      </c>
      <c r="D33" s="42">
        <v>1418238</v>
      </c>
      <c r="E33" s="42">
        <v>1698901</v>
      </c>
      <c r="F33" s="42">
        <v>1675034</v>
      </c>
      <c r="G33" s="42">
        <v>1628707</v>
      </c>
      <c r="H33" s="42">
        <v>1893585</v>
      </c>
      <c r="I33" s="42">
        <v>1923176</v>
      </c>
      <c r="J33" s="42">
        <v>2425198</v>
      </c>
      <c r="K33" s="42">
        <v>2378112.72</v>
      </c>
      <c r="L33" s="42">
        <f>1903615+372630</f>
        <v>2276245</v>
      </c>
      <c r="M33" s="42">
        <v>1925437</v>
      </c>
      <c r="N33" s="42">
        <v>2190198.99</v>
      </c>
      <c r="O33" s="43">
        <v>1800920</v>
      </c>
      <c r="P33" s="24">
        <v>2200000</v>
      </c>
      <c r="Q33" s="42">
        <v>2200000</v>
      </c>
      <c r="R33" s="24">
        <f t="shared" si="1"/>
        <v>0</v>
      </c>
      <c r="S33" s="42">
        <v>2200000</v>
      </c>
      <c r="T33" s="42">
        <v>2200000</v>
      </c>
      <c r="U33" s="131">
        <f>(S33-Q33)/Q33</f>
        <v>0</v>
      </c>
      <c r="V33" s="98">
        <f>(T33-Q33)/Q33</f>
        <v>0</v>
      </c>
    </row>
    <row r="34" spans="1:22" ht="12.75">
      <c r="A34" s="40" t="s">
        <v>800</v>
      </c>
      <c r="B34" s="41">
        <v>31.41</v>
      </c>
      <c r="C34" s="42"/>
      <c r="D34" s="42"/>
      <c r="E34" s="42"/>
      <c r="F34" s="42"/>
      <c r="G34" s="42"/>
      <c r="H34" s="42"/>
      <c r="I34" s="42"/>
      <c r="J34" s="42"/>
      <c r="K34" s="42">
        <v>1010</v>
      </c>
      <c r="L34" s="42">
        <v>415</v>
      </c>
      <c r="M34" s="42">
        <v>94</v>
      </c>
      <c r="N34" s="42">
        <v>2127</v>
      </c>
      <c r="O34" s="43">
        <v>8808</v>
      </c>
      <c r="P34" s="31">
        <v>10000</v>
      </c>
      <c r="Q34" s="42">
        <v>800</v>
      </c>
      <c r="R34" s="24">
        <f t="shared" si="1"/>
        <v>9200</v>
      </c>
      <c r="S34" s="42">
        <v>9000</v>
      </c>
      <c r="T34" s="42">
        <v>9000</v>
      </c>
      <c r="U34" s="131">
        <f>(S34-Q34)/Q34</f>
        <v>10.25</v>
      </c>
      <c r="V34" s="98"/>
    </row>
    <row r="35" spans="1:22" ht="12.75">
      <c r="A35" s="40" t="s">
        <v>821</v>
      </c>
      <c r="B35" s="41">
        <v>31.42</v>
      </c>
      <c r="C35" s="42">
        <v>63122</v>
      </c>
      <c r="D35" s="42">
        <v>67490</v>
      </c>
      <c r="E35" s="42">
        <v>71097</v>
      </c>
      <c r="F35" s="42">
        <v>70005</v>
      </c>
      <c r="G35" s="42">
        <v>57869</v>
      </c>
      <c r="H35" s="42">
        <v>62647</v>
      </c>
      <c r="I35" s="42">
        <f>50976+92+335+18+3813+500</f>
        <v>55734</v>
      </c>
      <c r="J35" s="42">
        <v>54847.3</v>
      </c>
      <c r="K35" s="42">
        <v>59732.45</v>
      </c>
      <c r="L35" s="42">
        <f>57935+6395</f>
        <v>64330</v>
      </c>
      <c r="M35" s="42">
        <v>61663</v>
      </c>
      <c r="N35" s="42">
        <v>61502</v>
      </c>
      <c r="O35" s="31">
        <v>51863</v>
      </c>
      <c r="P35" s="31">
        <v>60000</v>
      </c>
      <c r="Q35" s="42">
        <v>50000</v>
      </c>
      <c r="R35" s="24">
        <f t="shared" si="1"/>
        <v>10000</v>
      </c>
      <c r="S35" s="42">
        <v>60000</v>
      </c>
      <c r="T35" s="42">
        <v>60000</v>
      </c>
      <c r="U35" s="131">
        <f>(S35-Q35)/Q35</f>
        <v>0.2</v>
      </c>
      <c r="V35" s="98">
        <f>(T35-Q35)/Q35</f>
        <v>0.2</v>
      </c>
    </row>
    <row r="36" spans="1:22" ht="12.75" hidden="1">
      <c r="A36" s="40" t="s">
        <v>122</v>
      </c>
      <c r="B36" s="41">
        <v>31.62</v>
      </c>
      <c r="C36" s="42">
        <v>98550</v>
      </c>
      <c r="D36" s="42">
        <v>134589</v>
      </c>
      <c r="E36" s="42">
        <v>22816</v>
      </c>
      <c r="F36" s="42">
        <v>51602</v>
      </c>
      <c r="G36" s="42"/>
      <c r="H36" s="42"/>
      <c r="I36" s="42"/>
      <c r="J36" s="42"/>
      <c r="K36" s="42"/>
      <c r="L36" s="42"/>
      <c r="M36" s="42"/>
      <c r="N36" s="42"/>
      <c r="O36" s="43"/>
      <c r="P36" s="31"/>
      <c r="Q36" s="42"/>
      <c r="R36" s="24">
        <f t="shared" si="1"/>
        <v>0</v>
      </c>
      <c r="S36" s="42"/>
      <c r="T36" s="42"/>
      <c r="U36" s="131" t="e">
        <f>(S36-Q36)/Q36</f>
        <v>#DIV/0!</v>
      </c>
      <c r="V36" s="98"/>
    </row>
    <row r="37" spans="1:23" ht="12.75">
      <c r="A37" s="40" t="s">
        <v>822</v>
      </c>
      <c r="B37" s="41">
        <v>31.63</v>
      </c>
      <c r="C37" s="42">
        <v>16969</v>
      </c>
      <c r="D37" s="42">
        <v>18364</v>
      </c>
      <c r="E37" s="42">
        <v>20492</v>
      </c>
      <c r="F37" s="42">
        <v>21542</v>
      </c>
      <c r="G37" s="42">
        <v>24893</v>
      </c>
      <c r="H37" s="42">
        <v>24306</v>
      </c>
      <c r="I37" s="42">
        <v>27755</v>
      </c>
      <c r="J37" s="42">
        <v>25231</v>
      </c>
      <c r="K37" s="42">
        <v>25891</v>
      </c>
      <c r="L37" s="42">
        <v>22605</v>
      </c>
      <c r="M37" s="42">
        <v>26550</v>
      </c>
      <c r="N37" s="42">
        <v>28273</v>
      </c>
      <c r="O37" s="43">
        <v>41655</v>
      </c>
      <c r="P37" s="31">
        <v>42000</v>
      </c>
      <c r="Q37" s="42">
        <v>28000</v>
      </c>
      <c r="R37" s="24">
        <f t="shared" si="1"/>
        <v>14000</v>
      </c>
      <c r="S37" s="42">
        <v>30000</v>
      </c>
      <c r="T37" s="42">
        <v>40000</v>
      </c>
      <c r="U37" s="131">
        <f>(S37-Q37)/Q37</f>
        <v>0.07142857142857142</v>
      </c>
      <c r="V37" s="98">
        <f>(T37-Q37)/Q37</f>
        <v>0.42857142857142855</v>
      </c>
      <c r="W37" s="4"/>
    </row>
    <row r="38" spans="1:23" ht="12.75" hidden="1">
      <c r="A38" s="40" t="s">
        <v>823</v>
      </c>
      <c r="B38" s="41">
        <v>31.91</v>
      </c>
      <c r="C38" s="42">
        <v>60589</v>
      </c>
      <c r="D38" s="42">
        <v>53428</v>
      </c>
      <c r="E38" s="42">
        <v>8737</v>
      </c>
      <c r="F38" s="42"/>
      <c r="G38" s="42"/>
      <c r="H38" s="42"/>
      <c r="I38" s="42">
        <v>4080</v>
      </c>
      <c r="J38" s="42"/>
      <c r="K38" s="42"/>
      <c r="L38" s="42"/>
      <c r="M38" s="42"/>
      <c r="N38" s="42"/>
      <c r="P38" s="31"/>
      <c r="Q38" s="42"/>
      <c r="R38" s="24">
        <f t="shared" si="1"/>
        <v>0</v>
      </c>
      <c r="S38" s="42"/>
      <c r="T38" s="42"/>
      <c r="U38" s="131"/>
      <c r="V38" s="98"/>
      <c r="W38" s="4"/>
    </row>
    <row r="39" spans="1:22" ht="12.75">
      <c r="A39" s="40" t="s">
        <v>824</v>
      </c>
      <c r="B39" s="41">
        <v>31.911</v>
      </c>
      <c r="C39" s="42">
        <v>36564</v>
      </c>
      <c r="D39" s="42">
        <v>14046</v>
      </c>
      <c r="E39" s="42">
        <v>21744</v>
      </c>
      <c r="F39" s="42">
        <v>18800</v>
      </c>
      <c r="G39" s="42">
        <v>16472</v>
      </c>
      <c r="H39" s="42">
        <v>27434</v>
      </c>
      <c r="I39" s="42">
        <f>40617+4569</f>
        <v>45186</v>
      </c>
      <c r="J39" s="42">
        <v>36688.25</v>
      </c>
      <c r="K39" s="42">
        <v>28427.11</v>
      </c>
      <c r="L39" s="42">
        <v>26770</v>
      </c>
      <c r="M39" s="42">
        <v>26898</v>
      </c>
      <c r="N39" s="42">
        <v>27561</v>
      </c>
      <c r="O39" s="31">
        <v>29517</v>
      </c>
      <c r="P39" s="31">
        <v>30000</v>
      </c>
      <c r="Q39" s="42">
        <v>27000</v>
      </c>
      <c r="R39" s="24">
        <f t="shared" si="1"/>
        <v>3000</v>
      </c>
      <c r="S39" s="42">
        <v>30000</v>
      </c>
      <c r="T39" s="42">
        <v>30000</v>
      </c>
      <c r="U39" s="131">
        <f aca="true" t="shared" si="6" ref="U39:U44">(S39-Q39)/Q39</f>
        <v>0.1111111111111111</v>
      </c>
      <c r="V39" s="98">
        <f>(T39-Q39)/Q39</f>
        <v>0.1111111111111111</v>
      </c>
    </row>
    <row r="40" spans="1:22" ht="12.75" hidden="1">
      <c r="A40" s="40" t="s">
        <v>123</v>
      </c>
      <c r="B40" s="41">
        <v>31.9111</v>
      </c>
      <c r="C40" s="42">
        <v>3777</v>
      </c>
      <c r="D40" s="42">
        <v>34497</v>
      </c>
      <c r="E40" s="42">
        <v>22934</v>
      </c>
      <c r="F40" s="42"/>
      <c r="G40" s="42"/>
      <c r="H40" s="42"/>
      <c r="I40" s="42"/>
      <c r="J40" s="42"/>
      <c r="K40" s="42"/>
      <c r="L40" s="42"/>
      <c r="M40" s="42"/>
      <c r="N40" s="42"/>
      <c r="P40" s="31"/>
      <c r="Q40" s="42"/>
      <c r="R40" s="24">
        <f t="shared" si="1"/>
        <v>0</v>
      </c>
      <c r="S40" s="42"/>
      <c r="T40" s="42"/>
      <c r="U40" s="131" t="e">
        <f t="shared" si="6"/>
        <v>#DIV/0!</v>
      </c>
      <c r="V40" s="98"/>
    </row>
    <row r="41" spans="1:22" ht="12.75">
      <c r="A41" s="40" t="s">
        <v>825</v>
      </c>
      <c r="B41" s="41">
        <v>31.912</v>
      </c>
      <c r="C41" s="42"/>
      <c r="D41" s="42"/>
      <c r="E41" s="42">
        <v>24562</v>
      </c>
      <c r="F41" s="42">
        <v>8689</v>
      </c>
      <c r="G41" s="42">
        <v>1508</v>
      </c>
      <c r="H41" s="42">
        <v>5657</v>
      </c>
      <c r="I41" s="42">
        <f>2028+5530</f>
        <v>7558</v>
      </c>
      <c r="J41" s="42">
        <v>1213.75</v>
      </c>
      <c r="K41" s="42">
        <v>2663</v>
      </c>
      <c r="L41" s="42">
        <v>1121</v>
      </c>
      <c r="M41" s="42">
        <v>723</v>
      </c>
      <c r="N41" s="42">
        <v>511</v>
      </c>
      <c r="O41" s="43">
        <v>1595</v>
      </c>
      <c r="P41" s="31">
        <v>1600</v>
      </c>
      <c r="Q41" s="42">
        <v>500</v>
      </c>
      <c r="R41" s="24">
        <f t="shared" si="1"/>
        <v>1100</v>
      </c>
      <c r="S41" s="42">
        <v>1600</v>
      </c>
      <c r="T41" s="42">
        <v>1600</v>
      </c>
      <c r="U41" s="131">
        <f t="shared" si="6"/>
        <v>2.2</v>
      </c>
      <c r="V41" s="98"/>
    </row>
    <row r="42" spans="1:22" ht="12.75">
      <c r="A42" s="40" t="s">
        <v>688</v>
      </c>
      <c r="B42" s="41">
        <v>31.9121</v>
      </c>
      <c r="C42" s="42"/>
      <c r="D42" s="42"/>
      <c r="E42" s="42">
        <v>18853</v>
      </c>
      <c r="F42" s="42">
        <v>34024</v>
      </c>
      <c r="G42" s="42">
        <v>31392</v>
      </c>
      <c r="H42" s="42">
        <v>56562</v>
      </c>
      <c r="I42" s="42">
        <v>74924</v>
      </c>
      <c r="J42" s="42">
        <v>60584.01</v>
      </c>
      <c r="K42" s="42">
        <v>51161</v>
      </c>
      <c r="L42" s="42">
        <v>59602</v>
      </c>
      <c r="M42" s="42">
        <v>71027</v>
      </c>
      <c r="N42" s="42">
        <v>30999</v>
      </c>
      <c r="O42" s="31">
        <v>15460</v>
      </c>
      <c r="P42" s="31">
        <v>16000</v>
      </c>
      <c r="Q42" s="42">
        <v>32000</v>
      </c>
      <c r="R42" s="24">
        <f t="shared" si="1"/>
        <v>-16000</v>
      </c>
      <c r="S42" s="42">
        <v>32000</v>
      </c>
      <c r="T42" s="42">
        <v>32000</v>
      </c>
      <c r="U42" s="131">
        <f t="shared" si="6"/>
        <v>0</v>
      </c>
      <c r="V42" s="98">
        <f>(T42-Q42)/Q42</f>
        <v>0</v>
      </c>
    </row>
    <row r="43" spans="1:22" ht="12.75">
      <c r="A43" s="40" t="s">
        <v>833</v>
      </c>
      <c r="B43" s="41">
        <v>31.95</v>
      </c>
      <c r="C43" s="42">
        <v>2989</v>
      </c>
      <c r="D43" s="42">
        <v>1177</v>
      </c>
      <c r="E43" s="42">
        <v>2570</v>
      </c>
      <c r="F43" s="42">
        <v>2485</v>
      </c>
      <c r="G43" s="42">
        <v>1814</v>
      </c>
      <c r="H43" s="42">
        <v>2401</v>
      </c>
      <c r="I43" s="42">
        <f>3239+149</f>
        <v>3388</v>
      </c>
      <c r="J43" s="42">
        <v>1870</v>
      </c>
      <c r="K43" s="42">
        <v>1521.5</v>
      </c>
      <c r="L43" s="42">
        <v>943</v>
      </c>
      <c r="M43" s="42">
        <v>1712</v>
      </c>
      <c r="N43" s="42">
        <v>878</v>
      </c>
      <c r="O43" s="31">
        <v>246</v>
      </c>
      <c r="P43" s="31">
        <v>400</v>
      </c>
      <c r="Q43" s="42">
        <v>1100</v>
      </c>
      <c r="R43" s="24">
        <f t="shared" si="1"/>
        <v>-700</v>
      </c>
      <c r="S43" s="42">
        <v>900</v>
      </c>
      <c r="T43" s="42">
        <v>900</v>
      </c>
      <c r="U43" s="131">
        <f t="shared" si="6"/>
        <v>-0.18181818181818182</v>
      </c>
      <c r="V43" s="98">
        <f>(T43-Q43)/Q43</f>
        <v>-0.18181818181818182</v>
      </c>
    </row>
    <row r="44" spans="1:22" ht="12.75">
      <c r="A44" s="40" t="s">
        <v>834</v>
      </c>
      <c r="B44" s="41">
        <v>32.11</v>
      </c>
      <c r="C44" s="42">
        <v>11825</v>
      </c>
      <c r="D44" s="42">
        <v>12900</v>
      </c>
      <c r="E44" s="42">
        <v>11600</v>
      </c>
      <c r="F44" s="42">
        <v>11750</v>
      </c>
      <c r="G44" s="42">
        <v>12700</v>
      </c>
      <c r="H44" s="42">
        <v>11700</v>
      </c>
      <c r="I44" s="42">
        <v>8400</v>
      </c>
      <c r="J44" s="42">
        <v>10400</v>
      </c>
      <c r="K44" s="42">
        <v>11900</v>
      </c>
      <c r="L44" s="42">
        <v>10750</v>
      </c>
      <c r="M44" s="42">
        <v>12550</v>
      </c>
      <c r="N44" s="42">
        <v>8900</v>
      </c>
      <c r="O44" s="31">
        <v>10225</v>
      </c>
      <c r="P44" s="31">
        <v>10225</v>
      </c>
      <c r="Q44" s="42">
        <v>10000</v>
      </c>
      <c r="R44" s="24">
        <f t="shared" si="1"/>
        <v>225</v>
      </c>
      <c r="S44" s="42">
        <v>11000</v>
      </c>
      <c r="T44" s="42">
        <v>11000</v>
      </c>
      <c r="U44" s="131">
        <f t="shared" si="6"/>
        <v>0.1</v>
      </c>
      <c r="V44" s="98">
        <f>(T44-Q44)/Q44</f>
        <v>0.1</v>
      </c>
    </row>
    <row r="45" spans="1:22" ht="12.75" hidden="1">
      <c r="A45" s="40" t="s">
        <v>124</v>
      </c>
      <c r="B45" s="41">
        <v>32.2205</v>
      </c>
      <c r="C45" s="42">
        <v>175</v>
      </c>
      <c r="D45" s="42">
        <v>25</v>
      </c>
      <c r="E45" s="42"/>
      <c r="F45" s="42"/>
      <c r="G45" s="42">
        <v>75</v>
      </c>
      <c r="H45" s="42"/>
      <c r="I45" s="42">
        <v>5</v>
      </c>
      <c r="J45" s="42"/>
      <c r="K45" s="42"/>
      <c r="L45" s="42"/>
      <c r="M45" s="42"/>
      <c r="N45" s="42"/>
      <c r="P45" s="31"/>
      <c r="Q45" s="42"/>
      <c r="R45" s="24">
        <f t="shared" si="1"/>
        <v>0</v>
      </c>
      <c r="S45" s="42"/>
      <c r="T45" s="42"/>
      <c r="U45" s="131"/>
      <c r="V45" s="98"/>
    </row>
    <row r="46" spans="1:22" ht="12.75">
      <c r="A46" s="44" t="s">
        <v>522</v>
      </c>
      <c r="B46" s="41">
        <v>32.31</v>
      </c>
      <c r="C46" s="42"/>
      <c r="D46" s="42"/>
      <c r="E46" s="42"/>
      <c r="F46" s="42"/>
      <c r="G46" s="42">
        <v>5190</v>
      </c>
      <c r="H46" s="42">
        <v>5210</v>
      </c>
      <c r="I46" s="42">
        <v>6165</v>
      </c>
      <c r="J46" s="42">
        <v>6030</v>
      </c>
      <c r="K46" s="42">
        <v>6095</v>
      </c>
      <c r="L46" s="42">
        <v>4260</v>
      </c>
      <c r="M46" s="42">
        <v>4900</v>
      </c>
      <c r="N46" s="42">
        <v>4200</v>
      </c>
      <c r="O46" s="31">
        <v>3950</v>
      </c>
      <c r="P46" s="31">
        <f>(12/$O$2)*O46</f>
        <v>4309.090909090909</v>
      </c>
      <c r="Q46" s="42">
        <v>4800</v>
      </c>
      <c r="R46" s="24">
        <f>P46-Q46</f>
        <v>-490.909090909091</v>
      </c>
      <c r="S46" s="42">
        <v>4400</v>
      </c>
      <c r="T46" s="42">
        <v>4400</v>
      </c>
      <c r="U46" s="131">
        <f>(S46-Q46)/Q46</f>
        <v>-0.08333333333333333</v>
      </c>
      <c r="V46" s="98"/>
    </row>
    <row r="47" spans="1:22" ht="12.75">
      <c r="A47" s="44" t="s">
        <v>1000</v>
      </c>
      <c r="B47" s="41">
        <v>32.2201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>
        <v>90</v>
      </c>
      <c r="O47" s="31">
        <v>870</v>
      </c>
      <c r="P47" s="31">
        <v>810</v>
      </c>
      <c r="Q47" s="42">
        <v>150</v>
      </c>
      <c r="R47" s="24"/>
      <c r="S47" s="42">
        <v>800</v>
      </c>
      <c r="T47" s="42">
        <v>800</v>
      </c>
      <c r="U47" s="131">
        <f>(S47-Q47)/Q47</f>
        <v>4.333333333333333</v>
      </c>
      <c r="V47" s="98"/>
    </row>
    <row r="48" spans="1:22" ht="12.75">
      <c r="A48" s="40" t="s">
        <v>57</v>
      </c>
      <c r="B48" s="41">
        <v>33.2202</v>
      </c>
      <c r="C48" s="42"/>
      <c r="D48" s="42"/>
      <c r="E48" s="42"/>
      <c r="F48" s="42"/>
      <c r="G48" s="42"/>
      <c r="H48" s="42"/>
      <c r="I48" s="42"/>
      <c r="J48" s="42"/>
      <c r="K48" s="42"/>
      <c r="L48" s="42">
        <v>900</v>
      </c>
      <c r="M48" s="42">
        <v>2050</v>
      </c>
      <c r="N48" s="42">
        <v>1650</v>
      </c>
      <c r="O48" s="22">
        <v>1995</v>
      </c>
      <c r="P48" s="31">
        <f aca="true" t="shared" si="7" ref="P48:P53">(12/$O$2)*O48</f>
        <v>2176.363636363636</v>
      </c>
      <c r="Q48" s="42">
        <v>1800</v>
      </c>
      <c r="R48" s="24">
        <f t="shared" si="1"/>
        <v>376.36363636363603</v>
      </c>
      <c r="S48" s="42">
        <v>2200</v>
      </c>
      <c r="T48" s="42">
        <v>2200</v>
      </c>
      <c r="U48" s="131">
        <f>(S48-Q48)/Q48</f>
        <v>0.2222222222222222</v>
      </c>
      <c r="V48" s="98"/>
    </row>
    <row r="49" spans="1:22" ht="12.75">
      <c r="A49" s="40" t="s">
        <v>888</v>
      </c>
      <c r="B49" s="41">
        <v>32.291</v>
      </c>
      <c r="C49" s="42"/>
      <c r="D49" s="42"/>
      <c r="E49" s="42"/>
      <c r="F49" s="42"/>
      <c r="G49" s="42"/>
      <c r="H49" s="42"/>
      <c r="I49" s="42"/>
      <c r="J49" s="42"/>
      <c r="K49" s="42"/>
      <c r="L49" s="42">
        <v>1242</v>
      </c>
      <c r="M49" s="42">
        <v>2000</v>
      </c>
      <c r="N49" s="42"/>
      <c r="O49" s="22">
        <v>306</v>
      </c>
      <c r="P49" s="31">
        <f t="shared" si="7"/>
        <v>333.8181818181818</v>
      </c>
      <c r="Q49" s="42"/>
      <c r="R49" s="24">
        <f t="shared" si="1"/>
        <v>333.8181818181818</v>
      </c>
      <c r="S49" s="42"/>
      <c r="T49" s="42"/>
      <c r="U49" s="131" t="e">
        <f aca="true" t="shared" si="8" ref="U49:U77">(S49-Q49)/Q49</f>
        <v>#DIV/0!</v>
      </c>
      <c r="V49" s="98"/>
    </row>
    <row r="50" spans="1:22" ht="12.75">
      <c r="A50" s="40" t="s">
        <v>835</v>
      </c>
      <c r="B50" s="41">
        <v>32.294</v>
      </c>
      <c r="C50" s="42">
        <v>1380</v>
      </c>
      <c r="D50" s="42">
        <v>1261</v>
      </c>
      <c r="E50" s="42">
        <v>1030</v>
      </c>
      <c r="F50" s="42">
        <v>905</v>
      </c>
      <c r="G50" s="42">
        <v>3995</v>
      </c>
      <c r="H50" s="42">
        <v>3325</v>
      </c>
      <c r="I50" s="42">
        <v>3475</v>
      </c>
      <c r="J50" s="42">
        <v>3500</v>
      </c>
      <c r="K50" s="42">
        <v>2894</v>
      </c>
      <c r="L50" s="42">
        <v>1900</v>
      </c>
      <c r="M50" s="42">
        <v>6200</v>
      </c>
      <c r="N50" s="42">
        <v>5100</v>
      </c>
      <c r="O50" s="31">
        <v>4300</v>
      </c>
      <c r="P50" s="31">
        <f t="shared" si="7"/>
        <v>4690.909090909091</v>
      </c>
      <c r="Q50" s="42">
        <v>5500</v>
      </c>
      <c r="R50" s="24">
        <f t="shared" si="1"/>
        <v>-809.090909090909</v>
      </c>
      <c r="S50" s="42">
        <v>4700</v>
      </c>
      <c r="T50" s="42">
        <v>4700</v>
      </c>
      <c r="U50" s="131">
        <f t="shared" si="8"/>
        <v>-0.14545454545454545</v>
      </c>
      <c r="V50" s="98">
        <f>(T50-Q50)/Q50</f>
        <v>-0.14545454545454545</v>
      </c>
    </row>
    <row r="51" spans="1:23" ht="12.75" hidden="1">
      <c r="A51" s="44" t="s">
        <v>407</v>
      </c>
      <c r="B51" s="41">
        <v>32.299</v>
      </c>
      <c r="C51" s="42"/>
      <c r="D51" s="42"/>
      <c r="E51" s="42"/>
      <c r="F51" s="42">
        <v>5</v>
      </c>
      <c r="G51" s="42"/>
      <c r="H51" s="42"/>
      <c r="I51" s="42"/>
      <c r="J51" s="42"/>
      <c r="K51" s="42"/>
      <c r="L51" s="42"/>
      <c r="M51" s="42"/>
      <c r="N51" s="42"/>
      <c r="O51" s="43"/>
      <c r="P51" s="31">
        <f t="shared" si="7"/>
        <v>0</v>
      </c>
      <c r="Q51" s="42"/>
      <c r="R51" s="24">
        <f t="shared" si="1"/>
        <v>0</v>
      </c>
      <c r="S51" s="42"/>
      <c r="T51" s="42"/>
      <c r="U51" s="131" t="e">
        <f t="shared" si="8"/>
        <v>#DIV/0!</v>
      </c>
      <c r="V51" s="98"/>
      <c r="W51">
        <v>38.9093</v>
      </c>
    </row>
    <row r="52" spans="1:22" ht="12.75">
      <c r="A52" s="40" t="s">
        <v>826</v>
      </c>
      <c r="B52" s="41">
        <v>32.43</v>
      </c>
      <c r="C52" s="42"/>
      <c r="D52" s="42"/>
      <c r="E52" s="42">
        <v>12217</v>
      </c>
      <c r="F52" s="42">
        <v>36584</v>
      </c>
      <c r="G52" s="42">
        <v>36851</v>
      </c>
      <c r="H52" s="42">
        <v>63268</v>
      </c>
      <c r="I52" s="42">
        <f>55164+1339</f>
        <v>56503</v>
      </c>
      <c r="J52" s="42">
        <v>40334</v>
      </c>
      <c r="K52" s="42">
        <v>38890.25</v>
      </c>
      <c r="L52" s="42">
        <v>43177</v>
      </c>
      <c r="M52" s="42">
        <v>40601</v>
      </c>
      <c r="N52" s="42">
        <v>42190</v>
      </c>
      <c r="O52" s="43">
        <v>34478</v>
      </c>
      <c r="P52" s="31">
        <f t="shared" si="7"/>
        <v>37612.36363636363</v>
      </c>
      <c r="Q52" s="42">
        <v>41000</v>
      </c>
      <c r="R52" s="24">
        <f t="shared" si="1"/>
        <v>-3387.6363636363676</v>
      </c>
      <c r="S52" s="42">
        <v>37000</v>
      </c>
      <c r="T52" s="42">
        <v>42000</v>
      </c>
      <c r="U52" s="131">
        <f t="shared" si="8"/>
        <v>-0.0975609756097561</v>
      </c>
      <c r="V52" s="98">
        <f>(T52-Q52)/Q52</f>
        <v>0.024390243902439025</v>
      </c>
    </row>
    <row r="53" spans="1:22" ht="12.75" hidden="1">
      <c r="A53" s="44" t="s">
        <v>408</v>
      </c>
      <c r="B53" s="41">
        <v>33.1111</v>
      </c>
      <c r="C53" s="42"/>
      <c r="D53" s="42"/>
      <c r="E53" s="42">
        <v>3806</v>
      </c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31">
        <f t="shared" si="7"/>
        <v>0</v>
      </c>
      <c r="Q53" s="42"/>
      <c r="R53" s="24">
        <f t="shared" si="1"/>
        <v>0</v>
      </c>
      <c r="S53" s="42"/>
      <c r="T53" s="42"/>
      <c r="U53" s="131" t="e">
        <f t="shared" si="8"/>
        <v>#DIV/0!</v>
      </c>
      <c r="V53" s="98"/>
    </row>
    <row r="54" spans="1:22" ht="12.75" hidden="1">
      <c r="A54" s="44" t="s">
        <v>514</v>
      </c>
      <c r="B54" s="41">
        <v>33.1151</v>
      </c>
      <c r="C54" s="42"/>
      <c r="D54" s="42"/>
      <c r="E54" s="42"/>
      <c r="F54" s="42"/>
      <c r="G54" s="42">
        <v>4990</v>
      </c>
      <c r="H54" s="42"/>
      <c r="I54" s="42"/>
      <c r="J54" s="42"/>
      <c r="K54" s="42"/>
      <c r="L54" s="42"/>
      <c r="M54" s="42"/>
      <c r="N54" s="42"/>
      <c r="O54" s="43"/>
      <c r="P54" s="31"/>
      <c r="Q54" s="42"/>
      <c r="R54" s="24">
        <f t="shared" si="1"/>
        <v>0</v>
      </c>
      <c r="S54" s="42"/>
      <c r="T54" s="42"/>
      <c r="U54" s="131" t="e">
        <f t="shared" si="8"/>
        <v>#DIV/0!</v>
      </c>
      <c r="V54" s="98"/>
    </row>
    <row r="55" spans="1:22" ht="12.75" hidden="1">
      <c r="A55" s="40" t="s">
        <v>125</v>
      </c>
      <c r="B55" s="41">
        <v>33.112</v>
      </c>
      <c r="C55" s="42">
        <v>19390</v>
      </c>
      <c r="D55" s="42">
        <v>10668</v>
      </c>
      <c r="E55" s="42">
        <v>17693</v>
      </c>
      <c r="F55" s="42">
        <v>10631</v>
      </c>
      <c r="G55" s="42"/>
      <c r="H55" s="42"/>
      <c r="I55" s="42"/>
      <c r="J55" s="42"/>
      <c r="K55" s="42"/>
      <c r="L55" s="42"/>
      <c r="M55" s="42"/>
      <c r="N55" s="42"/>
      <c r="P55" s="31">
        <f>(12/$O$2)*O55</f>
        <v>0</v>
      </c>
      <c r="Q55" s="42"/>
      <c r="R55" s="24">
        <f t="shared" si="1"/>
        <v>0</v>
      </c>
      <c r="S55" s="42"/>
      <c r="T55" s="42"/>
      <c r="U55" s="131" t="e">
        <f t="shared" si="8"/>
        <v>#DIV/0!</v>
      </c>
      <c r="V55" s="98"/>
    </row>
    <row r="56" spans="1:22" ht="12.75" hidden="1">
      <c r="A56" s="40" t="s">
        <v>607</v>
      </c>
      <c r="B56" s="41">
        <v>33.113</v>
      </c>
      <c r="C56" s="42"/>
      <c r="D56" s="42"/>
      <c r="E56" s="42"/>
      <c r="F56" s="42"/>
      <c r="G56" s="42"/>
      <c r="H56" s="42"/>
      <c r="I56" s="42">
        <v>82216</v>
      </c>
      <c r="J56" s="42"/>
      <c r="K56" s="42"/>
      <c r="L56" s="42"/>
      <c r="M56" s="42"/>
      <c r="N56" s="42"/>
      <c r="P56" s="31"/>
      <c r="Q56" s="42"/>
      <c r="R56" s="24">
        <f t="shared" si="1"/>
        <v>0</v>
      </c>
      <c r="S56" s="42"/>
      <c r="T56" s="42"/>
      <c r="U56" s="131" t="e">
        <f t="shared" si="8"/>
        <v>#DIV/0!</v>
      </c>
      <c r="V56" s="98"/>
    </row>
    <row r="57" spans="1:22" ht="12.75" hidden="1">
      <c r="A57" s="40" t="s">
        <v>331</v>
      </c>
      <c r="B57" s="41">
        <v>33.1152</v>
      </c>
      <c r="C57" s="42"/>
      <c r="D57" s="42"/>
      <c r="E57" s="42">
        <v>6920</v>
      </c>
      <c r="F57" s="42"/>
      <c r="G57" s="42"/>
      <c r="H57" s="42"/>
      <c r="I57" s="42"/>
      <c r="J57" s="42"/>
      <c r="K57" s="42"/>
      <c r="L57" s="42"/>
      <c r="M57" s="42"/>
      <c r="N57" s="42"/>
      <c r="P57" s="31"/>
      <c r="Q57" s="42"/>
      <c r="R57" s="24">
        <f t="shared" si="1"/>
        <v>0</v>
      </c>
      <c r="S57" s="42"/>
      <c r="T57" s="42"/>
      <c r="U57" s="131" t="e">
        <f t="shared" si="8"/>
        <v>#DIV/0!</v>
      </c>
      <c r="V57" s="98"/>
    </row>
    <row r="58" spans="1:22" ht="12.75" hidden="1">
      <c r="A58" s="40" t="s">
        <v>691</v>
      </c>
      <c r="B58" s="41">
        <v>33.1154</v>
      </c>
      <c r="C58" s="42"/>
      <c r="D58" s="42"/>
      <c r="E58" s="42"/>
      <c r="F58" s="42"/>
      <c r="G58" s="42"/>
      <c r="H58" s="42"/>
      <c r="I58" s="42">
        <v>3862</v>
      </c>
      <c r="J58" s="42">
        <v>11044</v>
      </c>
      <c r="K58" s="42"/>
      <c r="L58" s="42"/>
      <c r="M58" s="42"/>
      <c r="N58" s="42"/>
      <c r="O58" s="31"/>
      <c r="P58" s="31"/>
      <c r="Q58" s="42"/>
      <c r="R58" s="24">
        <f t="shared" si="1"/>
        <v>0</v>
      </c>
      <c r="S58" s="42"/>
      <c r="T58" s="42"/>
      <c r="U58" s="131" t="e">
        <f t="shared" si="8"/>
        <v>#DIV/0!</v>
      </c>
      <c r="V58" s="98"/>
    </row>
    <row r="59" spans="1:22" ht="12.75">
      <c r="A59" s="40" t="s">
        <v>66</v>
      </c>
      <c r="B59" s="41">
        <v>33.1155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>
        <v>10980.8</v>
      </c>
      <c r="N59" s="42"/>
      <c r="O59" s="31"/>
      <c r="P59" s="31"/>
      <c r="Q59" s="42"/>
      <c r="R59" s="24">
        <f t="shared" si="1"/>
        <v>0</v>
      </c>
      <c r="S59" s="42"/>
      <c r="T59" s="42"/>
      <c r="U59" s="131"/>
      <c r="V59" s="98"/>
    </row>
    <row r="60" spans="1:22" ht="12.75">
      <c r="A60" s="40" t="s">
        <v>930</v>
      </c>
      <c r="B60" s="41">
        <v>33.126</v>
      </c>
      <c r="C60" s="42">
        <v>11861</v>
      </c>
      <c r="D60" s="42">
        <v>13945</v>
      </c>
      <c r="E60" s="42">
        <v>21822</v>
      </c>
      <c r="F60" s="42">
        <v>22239</v>
      </c>
      <c r="G60" s="42">
        <v>19224</v>
      </c>
      <c r="H60" s="42">
        <f>18331+6214</f>
        <v>24545</v>
      </c>
      <c r="I60" s="42">
        <v>18631</v>
      </c>
      <c r="J60" s="42">
        <v>29422</v>
      </c>
      <c r="K60" s="42">
        <v>30850</v>
      </c>
      <c r="L60" s="42">
        <v>30591</v>
      </c>
      <c r="M60" s="42">
        <v>33329</v>
      </c>
      <c r="N60" s="42">
        <v>18242</v>
      </c>
      <c r="O60" s="24">
        <v>24083</v>
      </c>
      <c r="P60" s="31">
        <v>25000</v>
      </c>
      <c r="Q60" s="42">
        <v>38018</v>
      </c>
      <c r="R60" s="24">
        <f t="shared" si="1"/>
        <v>-13018</v>
      </c>
      <c r="S60" s="42">
        <v>25000</v>
      </c>
      <c r="T60" s="42">
        <v>25000</v>
      </c>
      <c r="U60" s="131">
        <f t="shared" si="8"/>
        <v>-0.342416749960545</v>
      </c>
      <c r="V60" s="98">
        <f>(T60-Q60)/Q60</f>
        <v>-0.342416749960545</v>
      </c>
    </row>
    <row r="61" spans="1:22" ht="12.75">
      <c r="A61" s="40" t="s">
        <v>996</v>
      </c>
      <c r="B61" s="41">
        <v>33.301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>
        <v>2313</v>
      </c>
      <c r="N61" s="42">
        <v>88817</v>
      </c>
      <c r="O61" s="24">
        <v>46825</v>
      </c>
      <c r="P61" s="31">
        <v>50000</v>
      </c>
      <c r="Q61" s="42">
        <v>49374</v>
      </c>
      <c r="R61" s="24">
        <f>P61-Q61</f>
        <v>626</v>
      </c>
      <c r="S61" s="42">
        <v>50000</v>
      </c>
      <c r="T61" s="42">
        <v>50000</v>
      </c>
      <c r="U61" s="131">
        <f t="shared" si="8"/>
        <v>0.01267873779722121</v>
      </c>
      <c r="V61" s="98"/>
    </row>
    <row r="62" spans="1:22" ht="12.75">
      <c r="A62" s="40" t="s">
        <v>836</v>
      </c>
      <c r="B62" s="41">
        <v>33.331</v>
      </c>
      <c r="C62" s="42">
        <v>11435</v>
      </c>
      <c r="D62" s="42">
        <v>10544</v>
      </c>
      <c r="E62" s="42">
        <v>13089</v>
      </c>
      <c r="F62" s="42">
        <v>14649</v>
      </c>
      <c r="G62" s="42">
        <v>14651</v>
      </c>
      <c r="H62" s="42">
        <v>15576</v>
      </c>
      <c r="I62" s="42">
        <v>18704</v>
      </c>
      <c r="J62" s="42">
        <v>19685</v>
      </c>
      <c r="K62" s="42">
        <v>25434</v>
      </c>
      <c r="L62" s="42">
        <v>25950</v>
      </c>
      <c r="M62" s="42">
        <v>28429.75</v>
      </c>
      <c r="N62" s="42">
        <v>22545</v>
      </c>
      <c r="O62" s="31">
        <v>23267</v>
      </c>
      <c r="P62" s="31">
        <v>23500</v>
      </c>
      <c r="Q62" s="42">
        <v>22500</v>
      </c>
      <c r="R62" s="24">
        <f t="shared" si="1"/>
        <v>1000</v>
      </c>
      <c r="S62" s="42">
        <v>23500</v>
      </c>
      <c r="T62" s="42">
        <v>23500</v>
      </c>
      <c r="U62" s="131">
        <f t="shared" si="8"/>
        <v>0.044444444444444446</v>
      </c>
      <c r="V62" s="98">
        <f>(T62-Q62)/Q62</f>
        <v>0.044444444444444446</v>
      </c>
    </row>
    <row r="63" spans="1:22" ht="12.75">
      <c r="A63" s="40" t="s">
        <v>837</v>
      </c>
      <c r="B63" s="41">
        <v>33.3</v>
      </c>
      <c r="C63" s="42"/>
      <c r="D63" s="42">
        <v>15820</v>
      </c>
      <c r="E63" s="42">
        <v>22648</v>
      </c>
      <c r="F63" s="42">
        <v>23824</v>
      </c>
      <c r="G63" s="42">
        <v>27280</v>
      </c>
      <c r="H63" s="42">
        <v>27980</v>
      </c>
      <c r="I63" s="42">
        <v>28597</v>
      </c>
      <c r="J63" s="42">
        <v>29078</v>
      </c>
      <c r="K63" s="42">
        <v>28929</v>
      </c>
      <c r="L63" s="42">
        <v>28577</v>
      </c>
      <c r="M63" s="42">
        <v>64344</v>
      </c>
      <c r="N63" s="42">
        <v>48075</v>
      </c>
      <c r="O63" s="175">
        <v>48472</v>
      </c>
      <c r="P63" s="31">
        <v>48472</v>
      </c>
      <c r="Q63" s="42">
        <v>29000</v>
      </c>
      <c r="R63" s="24">
        <f t="shared" si="1"/>
        <v>19472</v>
      </c>
      <c r="S63" s="42">
        <v>48000</v>
      </c>
      <c r="T63" s="42">
        <v>48000</v>
      </c>
      <c r="U63" s="131">
        <f t="shared" si="8"/>
        <v>0.6551724137931034</v>
      </c>
      <c r="V63" s="98">
        <f>(T63-Q63)/Q63</f>
        <v>0.6551724137931034</v>
      </c>
    </row>
    <row r="64" spans="1:22" ht="12.75" hidden="1">
      <c r="A64" s="40" t="s">
        <v>838</v>
      </c>
      <c r="B64" s="41">
        <v>33.4111</v>
      </c>
      <c r="C64" s="42"/>
      <c r="D64" s="42"/>
      <c r="E64" s="42"/>
      <c r="F64" s="42">
        <v>1830</v>
      </c>
      <c r="G64" s="42">
        <v>4271</v>
      </c>
      <c r="H64" s="42">
        <v>2250</v>
      </c>
      <c r="I64" s="42">
        <f>910+50</f>
        <v>960</v>
      </c>
      <c r="J64" s="42">
        <v>5019</v>
      </c>
      <c r="K64" s="42"/>
      <c r="L64" s="42"/>
      <c r="M64" s="42"/>
      <c r="N64" s="42"/>
      <c r="O64" s="31"/>
      <c r="P64" s="31"/>
      <c r="Q64" s="42"/>
      <c r="R64" s="24">
        <f t="shared" si="1"/>
        <v>0</v>
      </c>
      <c r="S64" s="42"/>
      <c r="T64" s="42"/>
      <c r="U64" s="131" t="e">
        <f t="shared" si="8"/>
        <v>#DIV/0!</v>
      </c>
      <c r="V64" s="98" t="s">
        <v>885</v>
      </c>
    </row>
    <row r="65" spans="1:22" ht="12.75" hidden="1">
      <c r="A65" s="40" t="s">
        <v>589</v>
      </c>
      <c r="B65" s="41">
        <v>33.4113</v>
      </c>
      <c r="C65" s="42"/>
      <c r="D65" s="42"/>
      <c r="E65" s="42"/>
      <c r="F65" s="42"/>
      <c r="G65" s="42"/>
      <c r="H65" s="42">
        <v>1600</v>
      </c>
      <c r="I65" s="42"/>
      <c r="J65" s="42"/>
      <c r="K65" s="42"/>
      <c r="L65" s="42"/>
      <c r="M65" s="42"/>
      <c r="N65" s="42"/>
      <c r="P65" s="31"/>
      <c r="Q65" s="42"/>
      <c r="R65" s="24">
        <f t="shared" si="1"/>
        <v>0</v>
      </c>
      <c r="S65" s="42"/>
      <c r="T65" s="42"/>
      <c r="U65" s="131" t="e">
        <f t="shared" si="8"/>
        <v>#DIV/0!</v>
      </c>
      <c r="V65" s="98"/>
    </row>
    <row r="66" spans="1:22" ht="12.75" hidden="1">
      <c r="A66" s="40" t="s">
        <v>516</v>
      </c>
      <c r="B66" s="41">
        <v>33.4116</v>
      </c>
      <c r="C66" s="42"/>
      <c r="D66" s="42"/>
      <c r="E66" s="42"/>
      <c r="F66" s="42">
        <v>10000</v>
      </c>
      <c r="G66" s="42"/>
      <c r="H66" s="42"/>
      <c r="I66" s="42"/>
      <c r="J66" s="42"/>
      <c r="K66" s="42"/>
      <c r="L66" s="42"/>
      <c r="M66" s="42"/>
      <c r="N66" s="42"/>
      <c r="P66" s="31"/>
      <c r="Q66" s="42"/>
      <c r="R66" s="24">
        <f t="shared" si="1"/>
        <v>0</v>
      </c>
      <c r="S66" s="42"/>
      <c r="T66" s="42"/>
      <c r="U66" s="131" t="e">
        <f t="shared" si="8"/>
        <v>#DIV/0!</v>
      </c>
      <c r="V66" s="98"/>
    </row>
    <row r="67" spans="1:22" ht="12.75" hidden="1">
      <c r="A67" s="40" t="s">
        <v>667</v>
      </c>
      <c r="B67" s="41">
        <v>33.4117</v>
      </c>
      <c r="C67" s="42"/>
      <c r="D67" s="42"/>
      <c r="E67" s="42"/>
      <c r="F67" s="42">
        <v>4000</v>
      </c>
      <c r="G67" s="42">
        <v>700</v>
      </c>
      <c r="H67" s="42"/>
      <c r="I67" s="42"/>
      <c r="J67" s="42"/>
      <c r="K67" s="42"/>
      <c r="L67" s="42"/>
      <c r="M67" s="42"/>
      <c r="N67" s="42"/>
      <c r="P67" s="31"/>
      <c r="Q67" s="42"/>
      <c r="R67" s="24">
        <f t="shared" si="1"/>
        <v>0</v>
      </c>
      <c r="S67" s="42"/>
      <c r="T67" s="42"/>
      <c r="U67" s="131" t="e">
        <f t="shared" si="8"/>
        <v>#DIV/0!</v>
      </c>
      <c r="V67" s="98"/>
    </row>
    <row r="68" spans="1:22" ht="12.75" hidden="1">
      <c r="A68" s="40" t="s">
        <v>555</v>
      </c>
      <c r="B68" s="41">
        <v>33.4118</v>
      </c>
      <c r="C68" s="42"/>
      <c r="D68" s="42"/>
      <c r="E68" s="42"/>
      <c r="F68" s="42"/>
      <c r="G68" s="42"/>
      <c r="H68" s="42">
        <v>16498</v>
      </c>
      <c r="I68" s="42">
        <v>37841</v>
      </c>
      <c r="J68" s="42"/>
      <c r="K68" s="42"/>
      <c r="L68" s="42"/>
      <c r="M68" s="42"/>
      <c r="N68" s="42"/>
      <c r="P68" s="31"/>
      <c r="Q68" s="42"/>
      <c r="R68" s="24">
        <f t="shared" si="1"/>
        <v>0</v>
      </c>
      <c r="S68" s="42"/>
      <c r="T68" s="42"/>
      <c r="U68" s="131" t="e">
        <f t="shared" si="8"/>
        <v>#DIV/0!</v>
      </c>
      <c r="V68" s="98"/>
    </row>
    <row r="69" spans="1:22" ht="12.75" hidden="1">
      <c r="A69" s="40" t="s">
        <v>932</v>
      </c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P69" s="31">
        <f>(12/$O$2)*O69</f>
        <v>0</v>
      </c>
      <c r="Q69" s="42"/>
      <c r="R69" s="24">
        <f t="shared" si="1"/>
        <v>0</v>
      </c>
      <c r="S69" s="42"/>
      <c r="T69" s="42"/>
      <c r="U69" s="131" t="e">
        <f t="shared" si="8"/>
        <v>#DIV/0!</v>
      </c>
      <c r="V69" s="98"/>
    </row>
    <row r="70" spans="1:22" ht="12.75">
      <c r="A70" s="40" t="s">
        <v>931</v>
      </c>
      <c r="B70" s="41">
        <v>33.4119</v>
      </c>
      <c r="C70" s="42"/>
      <c r="D70" s="42"/>
      <c r="E70" s="42"/>
      <c r="F70" s="42"/>
      <c r="G70" s="42"/>
      <c r="H70" s="42">
        <f>9108+7468</f>
        <v>16576</v>
      </c>
      <c r="I70" s="42"/>
      <c r="J70" s="42">
        <v>44323.5</v>
      </c>
      <c r="K70" s="42">
        <v>61825.1</v>
      </c>
      <c r="L70" s="42">
        <v>38248</v>
      </c>
      <c r="M70" s="42">
        <v>30244</v>
      </c>
      <c r="N70" s="42"/>
      <c r="O70" s="31">
        <v>7208</v>
      </c>
      <c r="P70" s="31">
        <f>(12/$O$2)*O70</f>
        <v>7863.272727272727</v>
      </c>
      <c r="Q70" s="42">
        <v>20000</v>
      </c>
      <c r="R70" s="24">
        <f t="shared" si="1"/>
        <v>-12136.727272727272</v>
      </c>
      <c r="S70" s="42">
        <v>10000</v>
      </c>
      <c r="T70" s="42">
        <v>10000</v>
      </c>
      <c r="U70" s="131">
        <f t="shared" si="8"/>
        <v>-0.5</v>
      </c>
      <c r="V70" s="98"/>
    </row>
    <row r="71" spans="1:22" ht="12.75" hidden="1">
      <c r="A71" s="40" t="s">
        <v>608</v>
      </c>
      <c r="B71" s="41">
        <v>33.4121</v>
      </c>
      <c r="C71" s="42"/>
      <c r="D71" s="42"/>
      <c r="E71" s="42"/>
      <c r="F71" s="42"/>
      <c r="G71" s="42"/>
      <c r="H71" s="42"/>
      <c r="I71" s="42">
        <v>8800</v>
      </c>
      <c r="J71" s="42"/>
      <c r="K71" s="42"/>
      <c r="L71" s="42"/>
      <c r="M71" s="42"/>
      <c r="N71" s="42"/>
      <c r="P71" s="31"/>
      <c r="Q71" s="42"/>
      <c r="R71" s="24">
        <f aca="true" t="shared" si="9" ref="R71:R128">P71-Q71</f>
        <v>0</v>
      </c>
      <c r="S71" s="42"/>
      <c r="T71" s="42"/>
      <c r="U71" s="131" t="e">
        <f t="shared" si="8"/>
        <v>#DIV/0!</v>
      </c>
      <c r="V71" s="98"/>
    </row>
    <row r="72" spans="1:22" ht="12.75">
      <c r="A72" s="40" t="s">
        <v>1009</v>
      </c>
      <c r="B72" s="41">
        <v>33.114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11050</v>
      </c>
      <c r="P72" s="31"/>
      <c r="Q72" s="42"/>
      <c r="R72" s="24"/>
      <c r="S72" s="42"/>
      <c r="T72" s="42"/>
      <c r="U72" s="131"/>
      <c r="V72" s="98"/>
    </row>
    <row r="73" spans="1:22" ht="12.75">
      <c r="A73" s="40" t="s">
        <v>932</v>
      </c>
      <c r="B73" s="41">
        <v>33.4125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6696</v>
      </c>
      <c r="O73" s="22">
        <v>9675</v>
      </c>
      <c r="P73" s="31">
        <v>10000</v>
      </c>
      <c r="Q73" s="42">
        <v>10000</v>
      </c>
      <c r="R73" s="24">
        <f t="shared" si="9"/>
        <v>0</v>
      </c>
      <c r="S73" s="42">
        <v>10000</v>
      </c>
      <c r="T73" s="42">
        <v>10000</v>
      </c>
      <c r="U73" s="131"/>
      <c r="V73" s="98"/>
    </row>
    <row r="74" spans="1:22" ht="12.75">
      <c r="A74" s="40" t="s">
        <v>994</v>
      </c>
      <c r="B74" s="41">
        <v>33.4126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>
        <v>36134</v>
      </c>
      <c r="P74" s="31"/>
      <c r="Q74" s="42"/>
      <c r="R74" s="24">
        <f t="shared" si="9"/>
        <v>0</v>
      </c>
      <c r="S74" s="42"/>
      <c r="T74" s="42"/>
      <c r="U74" s="131"/>
      <c r="V74" s="98"/>
    </row>
    <row r="75" spans="1:23" ht="12" customHeight="1" hidden="1">
      <c r="A75" s="40" t="s">
        <v>839</v>
      </c>
      <c r="B75" s="41">
        <v>33.4212</v>
      </c>
      <c r="C75" s="42">
        <v>12000</v>
      </c>
      <c r="D75" s="42">
        <v>12000</v>
      </c>
      <c r="E75" s="42">
        <v>12000</v>
      </c>
      <c r="F75" s="42">
        <v>12000</v>
      </c>
      <c r="G75" s="42">
        <v>12000</v>
      </c>
      <c r="H75" s="42">
        <f>13516+1229</f>
        <v>14745</v>
      </c>
      <c r="I75" s="42">
        <v>14599</v>
      </c>
      <c r="J75" s="42">
        <v>12398</v>
      </c>
      <c r="K75" s="42">
        <v>2968</v>
      </c>
      <c r="L75" s="42"/>
      <c r="M75" s="42"/>
      <c r="N75" s="42"/>
      <c r="O75" s="31"/>
      <c r="P75" s="31"/>
      <c r="Q75" s="42"/>
      <c r="R75" s="24">
        <f t="shared" si="9"/>
        <v>0</v>
      </c>
      <c r="S75" s="42"/>
      <c r="T75" s="42"/>
      <c r="U75" s="131"/>
      <c r="V75" s="98" t="e">
        <f>(T75-Q75)/Q75</f>
        <v>#DIV/0!</v>
      </c>
      <c r="W75" s="22" t="s">
        <v>761</v>
      </c>
    </row>
    <row r="76" spans="1:22" ht="12.75" hidden="1">
      <c r="A76" s="40" t="s">
        <v>126</v>
      </c>
      <c r="B76" s="41">
        <v>33.4214</v>
      </c>
      <c r="C76" s="42">
        <v>720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P76" s="31"/>
      <c r="Q76" s="42"/>
      <c r="R76" s="24">
        <f t="shared" si="9"/>
        <v>0</v>
      </c>
      <c r="S76" s="42"/>
      <c r="T76" s="42"/>
      <c r="U76" s="131" t="e">
        <f t="shared" si="8"/>
        <v>#DIV/0!</v>
      </c>
      <c r="V76" s="98"/>
    </row>
    <row r="77" spans="1:22" ht="12.75">
      <c r="A77" s="40" t="s">
        <v>840</v>
      </c>
      <c r="B77" s="41">
        <v>33.4215</v>
      </c>
      <c r="C77" s="42">
        <v>1768</v>
      </c>
      <c r="D77" s="42">
        <v>3102</v>
      </c>
      <c r="E77" s="42"/>
      <c r="F77" s="42">
        <v>3102</v>
      </c>
      <c r="G77" s="42">
        <v>3102</v>
      </c>
      <c r="H77" s="42">
        <v>3102</v>
      </c>
      <c r="I77" s="42">
        <v>6824</v>
      </c>
      <c r="J77" s="42"/>
      <c r="K77" s="42">
        <v>4963</v>
      </c>
      <c r="L77" s="42">
        <v>4963</v>
      </c>
      <c r="M77" s="42">
        <v>6899</v>
      </c>
      <c r="N77" s="42">
        <v>16798</v>
      </c>
      <c r="P77" s="42"/>
      <c r="Q77" s="42">
        <v>5000</v>
      </c>
      <c r="R77" s="24">
        <f>P77-Q77</f>
        <v>-5000</v>
      </c>
      <c r="S77" s="42">
        <v>5000</v>
      </c>
      <c r="T77" s="42">
        <v>5000</v>
      </c>
      <c r="U77" s="131">
        <f t="shared" si="8"/>
        <v>0</v>
      </c>
      <c r="V77" s="98">
        <f>(T77-Q77)/Q77</f>
        <v>0</v>
      </c>
    </row>
    <row r="78" spans="1:22" ht="12.75" hidden="1">
      <c r="A78" s="40" t="s">
        <v>517</v>
      </c>
      <c r="B78" s="41">
        <v>33.4311</v>
      </c>
      <c r="C78" s="42"/>
      <c r="D78" s="42"/>
      <c r="E78" s="42"/>
      <c r="F78" s="42">
        <v>8000</v>
      </c>
      <c r="G78" s="42"/>
      <c r="H78" s="42"/>
      <c r="I78" s="42"/>
      <c r="J78" s="42"/>
      <c r="K78" s="42"/>
      <c r="L78" s="42"/>
      <c r="M78" s="42"/>
      <c r="N78" s="42"/>
      <c r="P78" s="31"/>
      <c r="Q78" s="42"/>
      <c r="R78" s="24">
        <f t="shared" si="9"/>
        <v>0</v>
      </c>
      <c r="S78" s="42"/>
      <c r="T78" s="42"/>
      <c r="U78" s="131" t="e">
        <f>(S78-Q78)/Q78</f>
        <v>#DIV/0!</v>
      </c>
      <c r="V78" s="98"/>
    </row>
    <row r="79" spans="1:22" ht="12.75" hidden="1">
      <c r="A79" s="40" t="s">
        <v>103</v>
      </c>
      <c r="B79" s="41">
        <v>33.4216</v>
      </c>
      <c r="C79" s="42"/>
      <c r="D79" s="42"/>
      <c r="E79" s="42"/>
      <c r="F79" s="42"/>
      <c r="G79" s="42"/>
      <c r="H79" s="42"/>
      <c r="I79" s="42"/>
      <c r="J79" s="42"/>
      <c r="K79" s="42"/>
      <c r="L79" s="42">
        <v>10390</v>
      </c>
      <c r="M79" s="42"/>
      <c r="N79" s="42"/>
      <c r="P79" s="31"/>
      <c r="Q79" s="42"/>
      <c r="R79" s="24">
        <f t="shared" si="9"/>
        <v>0</v>
      </c>
      <c r="S79" s="42"/>
      <c r="T79" s="42"/>
      <c r="U79" s="131"/>
      <c r="V79" s="98"/>
    </row>
    <row r="80" spans="1:22" ht="12.75">
      <c r="A80" s="40" t="s">
        <v>610</v>
      </c>
      <c r="B80" s="41">
        <v>33.51</v>
      </c>
      <c r="C80" s="42"/>
      <c r="D80" s="42">
        <v>54909</v>
      </c>
      <c r="E80" s="42">
        <v>111010</v>
      </c>
      <c r="F80" s="42">
        <v>187975</v>
      </c>
      <c r="G80" s="42">
        <v>216356</v>
      </c>
      <c r="H80" s="42">
        <v>222574</v>
      </c>
      <c r="I80" s="42">
        <v>224765</v>
      </c>
      <c r="J80" s="42">
        <v>205474</v>
      </c>
      <c r="K80" s="42">
        <v>207572</v>
      </c>
      <c r="L80" s="42">
        <v>201681</v>
      </c>
      <c r="M80" s="42">
        <v>200067</v>
      </c>
      <c r="N80" s="42"/>
      <c r="O80" s="31"/>
      <c r="P80" s="182"/>
      <c r="Q80" s="42"/>
      <c r="R80" s="24">
        <f t="shared" si="9"/>
        <v>0</v>
      </c>
      <c r="S80" s="42"/>
      <c r="T80" s="42"/>
      <c r="U80" s="131"/>
      <c r="V80" s="98" t="e">
        <f>(T80-Q80)/Q80</f>
        <v>#DIV/0!</v>
      </c>
    </row>
    <row r="81" spans="1:22" ht="12.75">
      <c r="A81" s="40" t="s">
        <v>751</v>
      </c>
      <c r="B81" s="41"/>
      <c r="C81" s="42"/>
      <c r="D81" s="42"/>
      <c r="E81" s="42"/>
      <c r="F81" s="42"/>
      <c r="G81" s="42"/>
      <c r="H81" s="42"/>
      <c r="I81" s="42"/>
      <c r="J81" s="42"/>
      <c r="K81" s="42">
        <v>450000</v>
      </c>
      <c r="L81" s="42">
        <v>10000</v>
      </c>
      <c r="M81" s="42"/>
      <c r="N81" s="42"/>
      <c r="O81" s="31"/>
      <c r="P81" s="31"/>
      <c r="Q81" s="42"/>
      <c r="R81" s="24">
        <f t="shared" si="9"/>
        <v>0</v>
      </c>
      <c r="S81" s="42"/>
      <c r="T81" s="42"/>
      <c r="U81" s="131"/>
      <c r="V81" s="98"/>
    </row>
    <row r="82" spans="1:22" ht="12.75">
      <c r="A82" s="40" t="s">
        <v>53</v>
      </c>
      <c r="B82" s="48">
        <v>33.4123</v>
      </c>
      <c r="C82" s="42"/>
      <c r="D82" s="42"/>
      <c r="E82" s="42"/>
      <c r="F82" s="42"/>
      <c r="G82" s="42"/>
      <c r="H82" s="42"/>
      <c r="I82" s="42"/>
      <c r="J82" s="42"/>
      <c r="K82" s="42"/>
      <c r="L82" s="42">
        <v>15000</v>
      </c>
      <c r="M82" s="42">
        <v>0</v>
      </c>
      <c r="N82" s="42"/>
      <c r="O82" s="31"/>
      <c r="P82" s="31"/>
      <c r="Q82" s="42"/>
      <c r="R82" s="24">
        <f t="shared" si="9"/>
        <v>0</v>
      </c>
      <c r="S82" s="42"/>
      <c r="T82" s="42"/>
      <c r="U82" s="131"/>
      <c r="V82" s="98"/>
    </row>
    <row r="83" spans="1:22" ht="12.75" hidden="1">
      <c r="A83" s="40" t="s">
        <v>61</v>
      </c>
      <c r="B83" s="48">
        <v>33.4124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>
        <v>0</v>
      </c>
      <c r="N83" s="42"/>
      <c r="O83" s="31"/>
      <c r="P83" s="31"/>
      <c r="Q83" s="42"/>
      <c r="R83" s="24">
        <f t="shared" si="9"/>
        <v>0</v>
      </c>
      <c r="S83" s="42"/>
      <c r="T83" s="42"/>
      <c r="U83" s="131"/>
      <c r="V83" s="98"/>
    </row>
    <row r="84" spans="1:23" ht="12.75">
      <c r="A84" s="40" t="s">
        <v>609</v>
      </c>
      <c r="B84" s="41">
        <v>34.112</v>
      </c>
      <c r="C84" s="42"/>
      <c r="D84" s="42"/>
      <c r="E84" s="42">
        <v>5608</v>
      </c>
      <c r="F84" s="42">
        <v>6265</v>
      </c>
      <c r="G84" s="42">
        <v>5522</v>
      </c>
      <c r="H84" s="42">
        <v>7360</v>
      </c>
      <c r="I84" s="42">
        <v>8374</v>
      </c>
      <c r="J84" s="42">
        <v>8426</v>
      </c>
      <c r="K84" s="42">
        <v>7314</v>
      </c>
      <c r="L84" s="42">
        <v>429</v>
      </c>
      <c r="M84" s="42"/>
      <c r="N84" s="42"/>
      <c r="O84" s="31"/>
      <c r="P84" s="31"/>
      <c r="Q84" s="42"/>
      <c r="R84" s="24">
        <f t="shared" si="9"/>
        <v>0</v>
      </c>
      <c r="S84" s="42"/>
      <c r="T84" s="42"/>
      <c r="U84" s="131"/>
      <c r="V84" s="98" t="e">
        <f>(T84-Q84)/Q84</f>
        <v>#DIV/0!</v>
      </c>
      <c r="W84" s="22" t="s">
        <v>62</v>
      </c>
    </row>
    <row r="85" spans="1:22" ht="12.75">
      <c r="A85" s="40" t="s">
        <v>523</v>
      </c>
      <c r="B85" s="41">
        <v>34.13</v>
      </c>
      <c r="C85" s="42"/>
      <c r="D85" s="42"/>
      <c r="E85" s="42"/>
      <c r="F85" s="42"/>
      <c r="G85" s="42">
        <v>3000</v>
      </c>
      <c r="H85" s="42"/>
      <c r="I85" s="42">
        <v>2000</v>
      </c>
      <c r="J85" s="42">
        <v>4500</v>
      </c>
      <c r="K85" s="42">
        <v>2500</v>
      </c>
      <c r="L85" s="42">
        <v>2100</v>
      </c>
      <c r="M85" s="42">
        <v>0</v>
      </c>
      <c r="N85" s="42">
        <v>500</v>
      </c>
      <c r="O85" s="31"/>
      <c r="P85" s="31"/>
      <c r="Q85" s="42"/>
      <c r="R85" s="24">
        <f t="shared" si="9"/>
        <v>0</v>
      </c>
      <c r="S85" s="42"/>
      <c r="T85" s="42"/>
      <c r="U85" s="131" t="e">
        <f>(S85-Q85)/Q85</f>
        <v>#DIV/0!</v>
      </c>
      <c r="V85" s="98"/>
    </row>
    <row r="86" spans="1:22" ht="12.75">
      <c r="A86" s="40" t="s">
        <v>841</v>
      </c>
      <c r="B86" s="41">
        <v>34.1391</v>
      </c>
      <c r="C86" s="42"/>
      <c r="D86" s="42">
        <v>6821</v>
      </c>
      <c r="E86" s="42">
        <v>9926</v>
      </c>
      <c r="F86" s="42">
        <v>4892</v>
      </c>
      <c r="G86" s="42">
        <v>667</v>
      </c>
      <c r="H86" s="42">
        <v>10451</v>
      </c>
      <c r="I86" s="42">
        <f>8726+465</f>
        <v>9191</v>
      </c>
      <c r="J86" s="42">
        <v>5289</v>
      </c>
      <c r="K86" s="42">
        <v>2687</v>
      </c>
      <c r="L86" s="42">
        <f>8037+620</f>
        <v>8657</v>
      </c>
      <c r="M86" s="42">
        <v>7271</v>
      </c>
      <c r="N86" s="42">
        <v>7536</v>
      </c>
      <c r="O86" s="31">
        <v>10234</v>
      </c>
      <c r="P86" s="31">
        <f aca="true" t="shared" si="10" ref="P86:P93">(12/$O$2)*O86</f>
        <v>11164.363636363636</v>
      </c>
      <c r="Q86" s="42">
        <v>7500</v>
      </c>
      <c r="R86" s="24">
        <f t="shared" si="9"/>
        <v>3664.363636363636</v>
      </c>
      <c r="S86" s="42">
        <v>9000</v>
      </c>
      <c r="T86" s="42">
        <v>9000</v>
      </c>
      <c r="U86" s="131">
        <f>(S86-Q86)/Q86</f>
        <v>0.2</v>
      </c>
      <c r="V86" s="98">
        <f>(T86-Q86)/Q86</f>
        <v>0.2</v>
      </c>
    </row>
    <row r="87" spans="1:22" ht="12.75">
      <c r="A87" s="40" t="s">
        <v>842</v>
      </c>
      <c r="B87" s="41">
        <v>34.191</v>
      </c>
      <c r="C87" s="42"/>
      <c r="D87" s="42">
        <v>5206</v>
      </c>
      <c r="E87" s="42"/>
      <c r="F87" s="42"/>
      <c r="G87" s="42"/>
      <c r="H87" s="42">
        <v>6790</v>
      </c>
      <c r="I87" s="42"/>
      <c r="J87" s="42">
        <v>549</v>
      </c>
      <c r="K87" s="42"/>
      <c r="L87" s="42"/>
      <c r="M87" s="42"/>
      <c r="N87" s="42">
        <v>260</v>
      </c>
      <c r="O87" s="22">
        <v>296</v>
      </c>
      <c r="P87" s="31">
        <f t="shared" si="10"/>
        <v>322.9090909090909</v>
      </c>
      <c r="Q87" s="42"/>
      <c r="R87" s="24">
        <f t="shared" si="9"/>
        <v>322.9090909090909</v>
      </c>
      <c r="S87" s="42">
        <v>500</v>
      </c>
      <c r="T87" s="42">
        <v>500</v>
      </c>
      <c r="U87" s="131"/>
      <c r="V87" s="98"/>
    </row>
    <row r="88" spans="1:22" ht="12.75">
      <c r="A88" s="40" t="s">
        <v>843</v>
      </c>
      <c r="B88" s="41">
        <v>34.193</v>
      </c>
      <c r="C88" s="42">
        <v>1005</v>
      </c>
      <c r="D88" s="42">
        <v>2080</v>
      </c>
      <c r="E88" s="42">
        <v>1291</v>
      </c>
      <c r="F88" s="42">
        <v>84</v>
      </c>
      <c r="G88" s="42">
        <v>143</v>
      </c>
      <c r="H88" s="42">
        <v>344</v>
      </c>
      <c r="I88" s="42">
        <v>2798</v>
      </c>
      <c r="J88" s="42">
        <v>847</v>
      </c>
      <c r="K88" s="42">
        <v>672</v>
      </c>
      <c r="L88" s="42">
        <v>437</v>
      </c>
      <c r="M88" s="42">
        <v>189</v>
      </c>
      <c r="N88" s="42">
        <v>512</v>
      </c>
      <c r="O88" s="31">
        <v>153</v>
      </c>
      <c r="P88" s="31">
        <f t="shared" si="10"/>
        <v>166.9090909090909</v>
      </c>
      <c r="Q88" s="42">
        <v>500</v>
      </c>
      <c r="R88" s="24">
        <f t="shared" si="9"/>
        <v>-333.0909090909091</v>
      </c>
      <c r="S88" s="42">
        <v>200</v>
      </c>
      <c r="T88" s="42">
        <v>200</v>
      </c>
      <c r="U88" s="131">
        <f aca="true" t="shared" si="11" ref="U88:U96">(S88-Q88)/Q88</f>
        <v>-0.6</v>
      </c>
      <c r="V88" s="98">
        <f aca="true" t="shared" si="12" ref="V88:V93">(T88-Q88)/Q88</f>
        <v>-0.6</v>
      </c>
    </row>
    <row r="89" spans="1:22" ht="12.75">
      <c r="A89" s="40" t="s">
        <v>844</v>
      </c>
      <c r="B89" s="41">
        <v>34.1935</v>
      </c>
      <c r="C89" s="42"/>
      <c r="D89" s="42"/>
      <c r="E89" s="42">
        <v>284</v>
      </c>
      <c r="F89" s="42">
        <v>325</v>
      </c>
      <c r="G89" s="42">
        <v>959</v>
      </c>
      <c r="H89" s="42">
        <f>601</f>
        <v>601</v>
      </c>
      <c r="I89" s="42">
        <v>843</v>
      </c>
      <c r="J89" s="42">
        <v>636</v>
      </c>
      <c r="K89" s="42">
        <v>1002</v>
      </c>
      <c r="L89" s="42">
        <v>412</v>
      </c>
      <c r="M89" s="42">
        <v>88</v>
      </c>
      <c r="N89" s="42">
        <v>592</v>
      </c>
      <c r="O89" s="31">
        <v>28</v>
      </c>
      <c r="P89" s="31">
        <f t="shared" si="10"/>
        <v>30.545454545454543</v>
      </c>
      <c r="Q89" s="42">
        <v>100</v>
      </c>
      <c r="R89" s="24">
        <f t="shared" si="9"/>
        <v>-69.45454545454545</v>
      </c>
      <c r="S89" s="42">
        <v>50</v>
      </c>
      <c r="T89" s="42">
        <v>50</v>
      </c>
      <c r="U89" s="131">
        <f t="shared" si="11"/>
        <v>-0.5</v>
      </c>
      <c r="V89" s="98">
        <f t="shared" si="12"/>
        <v>-0.5</v>
      </c>
    </row>
    <row r="90" spans="1:22" ht="12.75">
      <c r="A90" s="40" t="s">
        <v>845</v>
      </c>
      <c r="B90" s="41">
        <v>34.233</v>
      </c>
      <c r="C90" s="42">
        <v>47940</v>
      </c>
      <c r="D90" s="42">
        <v>10885</v>
      </c>
      <c r="E90" s="42">
        <v>23906</v>
      </c>
      <c r="F90" s="42">
        <v>32819</v>
      </c>
      <c r="G90" s="42">
        <v>30690</v>
      </c>
      <c r="H90" s="42">
        <v>61460</v>
      </c>
      <c r="I90" s="42">
        <v>27915</v>
      </c>
      <c r="J90" s="42">
        <v>46840</v>
      </c>
      <c r="K90" s="42">
        <v>27276</v>
      </c>
      <c r="L90" s="42">
        <v>27712</v>
      </c>
      <c r="M90" s="42">
        <v>43239</v>
      </c>
      <c r="N90" s="42">
        <v>40533</v>
      </c>
      <c r="O90" s="31">
        <v>62924</v>
      </c>
      <c r="P90" s="31">
        <v>55237</v>
      </c>
      <c r="Q90" s="42">
        <v>45000</v>
      </c>
      <c r="R90" s="24">
        <f t="shared" si="9"/>
        <v>10237</v>
      </c>
      <c r="S90" s="42">
        <v>45000</v>
      </c>
      <c r="T90" s="42">
        <v>55000</v>
      </c>
      <c r="U90" s="131">
        <f t="shared" si="11"/>
        <v>0</v>
      </c>
      <c r="V90" s="98">
        <f t="shared" si="12"/>
        <v>0.2222222222222222</v>
      </c>
    </row>
    <row r="91" spans="1:22" ht="12.75">
      <c r="A91" s="40" t="s">
        <v>769</v>
      </c>
      <c r="B91" s="41">
        <v>34.2335</v>
      </c>
      <c r="C91" s="42"/>
      <c r="D91" s="42"/>
      <c r="E91" s="42"/>
      <c r="F91" s="42"/>
      <c r="G91" s="42"/>
      <c r="H91" s="42"/>
      <c r="I91" s="42"/>
      <c r="J91" s="42"/>
      <c r="K91" s="42">
        <v>13200</v>
      </c>
      <c r="L91" s="42">
        <v>800</v>
      </c>
      <c r="M91" s="42">
        <v>800</v>
      </c>
      <c r="N91" s="42">
        <v>1630</v>
      </c>
      <c r="O91" s="31">
        <v>1400</v>
      </c>
      <c r="P91" s="31">
        <v>1400</v>
      </c>
      <c r="Q91" s="42">
        <v>1000</v>
      </c>
      <c r="R91" s="24">
        <f t="shared" si="9"/>
        <v>400</v>
      </c>
      <c r="S91" s="42">
        <v>1400</v>
      </c>
      <c r="T91" s="42">
        <v>1400</v>
      </c>
      <c r="U91" s="131">
        <f t="shared" si="11"/>
        <v>0.4</v>
      </c>
      <c r="V91" s="98">
        <f t="shared" si="12"/>
        <v>0.4</v>
      </c>
    </row>
    <row r="92" spans="1:23" ht="12.75">
      <c r="A92" s="40" t="s">
        <v>846</v>
      </c>
      <c r="B92" s="41">
        <v>34.234</v>
      </c>
      <c r="C92" s="42">
        <v>14338</v>
      </c>
      <c r="D92" s="42">
        <v>16708</v>
      </c>
      <c r="E92" s="42">
        <v>9894</v>
      </c>
      <c r="F92" s="42">
        <v>20562</v>
      </c>
      <c r="G92" s="42">
        <v>28236</v>
      </c>
      <c r="H92" s="42">
        <v>28383</v>
      </c>
      <c r="I92" s="42">
        <v>21265</v>
      </c>
      <c r="J92" s="42">
        <v>30697.91</v>
      </c>
      <c r="K92" s="42">
        <v>20789.5</v>
      </c>
      <c r="L92" s="42">
        <f>9885+1200</f>
        <v>11085</v>
      </c>
      <c r="M92" s="42">
        <v>9540</v>
      </c>
      <c r="N92" s="42">
        <v>10558</v>
      </c>
      <c r="O92" s="31">
        <v>6089</v>
      </c>
      <c r="P92" s="31">
        <f t="shared" si="10"/>
        <v>6642.545454545454</v>
      </c>
      <c r="Q92" s="42">
        <v>8200</v>
      </c>
      <c r="R92" s="24">
        <f t="shared" si="9"/>
        <v>-1557.454545454546</v>
      </c>
      <c r="S92" s="42">
        <v>6100</v>
      </c>
      <c r="T92" s="42">
        <v>10000</v>
      </c>
      <c r="U92" s="131">
        <f t="shared" si="11"/>
        <v>-0.25609756097560976</v>
      </c>
      <c r="V92" s="98">
        <f t="shared" si="12"/>
        <v>0.21951219512195122</v>
      </c>
      <c r="W92" s="48"/>
    </row>
    <row r="93" spans="1:23" ht="12.75">
      <c r="A93" s="40" t="s">
        <v>847</v>
      </c>
      <c r="B93" s="41">
        <v>34.26</v>
      </c>
      <c r="C93" s="42">
        <v>303986</v>
      </c>
      <c r="D93" s="42">
        <v>278843</v>
      </c>
      <c r="E93" s="42">
        <v>373359</v>
      </c>
      <c r="F93" s="42">
        <v>335216</v>
      </c>
      <c r="G93" s="42">
        <v>372944</v>
      </c>
      <c r="H93" s="42">
        <v>449612</v>
      </c>
      <c r="I93" s="42">
        <v>376838</v>
      </c>
      <c r="J93" s="42">
        <v>507965</v>
      </c>
      <c r="K93" s="42">
        <v>638191.03</v>
      </c>
      <c r="L93" s="42">
        <v>579209</v>
      </c>
      <c r="M93" s="42">
        <v>705288</v>
      </c>
      <c r="N93" s="42">
        <v>737415</v>
      </c>
      <c r="O93" s="31">
        <v>783889</v>
      </c>
      <c r="P93" s="31">
        <f t="shared" si="10"/>
        <v>855151.6363636364</v>
      </c>
      <c r="Q93" s="42">
        <v>740000</v>
      </c>
      <c r="R93" s="24">
        <f t="shared" si="9"/>
        <v>115151.63636363635</v>
      </c>
      <c r="S93" s="42">
        <v>800000</v>
      </c>
      <c r="T93" s="42">
        <v>850000</v>
      </c>
      <c r="U93" s="131">
        <f t="shared" si="11"/>
        <v>0.08108108108108109</v>
      </c>
      <c r="V93" s="98">
        <f t="shared" si="12"/>
        <v>0.14864864864864866</v>
      </c>
      <c r="W93" s="4"/>
    </row>
    <row r="94" spans="1:23" ht="12.75">
      <c r="A94" s="40" t="s">
        <v>1014</v>
      </c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>
        <v>252179</v>
      </c>
      <c r="O94" s="31"/>
      <c r="P94" s="31"/>
      <c r="Q94" s="42"/>
      <c r="R94" s="24"/>
      <c r="S94" s="42"/>
      <c r="T94" s="42"/>
      <c r="U94" s="131"/>
      <c r="V94" s="98"/>
      <c r="W94" s="4"/>
    </row>
    <row r="95" spans="1:22" ht="12.75">
      <c r="A95" s="40" t="s">
        <v>848</v>
      </c>
      <c r="B95" s="41">
        <v>34.291</v>
      </c>
      <c r="C95" s="42">
        <v>11596</v>
      </c>
      <c r="D95" s="42">
        <v>12206</v>
      </c>
      <c r="E95" s="42">
        <v>21226</v>
      </c>
      <c r="F95" s="42">
        <v>18232</v>
      </c>
      <c r="G95" s="42">
        <v>23840</v>
      </c>
      <c r="H95" s="42">
        <v>24970</v>
      </c>
      <c r="I95" s="42">
        <v>25266</v>
      </c>
      <c r="J95" s="42">
        <v>29882</v>
      </c>
      <c r="K95" s="42">
        <v>31649</v>
      </c>
      <c r="L95" s="42">
        <v>38110</v>
      </c>
      <c r="M95" s="42">
        <v>40602</v>
      </c>
      <c r="N95" s="42">
        <v>41756</v>
      </c>
      <c r="O95" s="31">
        <v>46682</v>
      </c>
      <c r="P95" s="31">
        <f>(12/$O$2)*O95</f>
        <v>50925.81818181818</v>
      </c>
      <c r="Q95" s="42">
        <v>43000</v>
      </c>
      <c r="R95" s="24">
        <f t="shared" si="9"/>
        <v>7925.8181818181765</v>
      </c>
      <c r="S95" s="42">
        <v>43000</v>
      </c>
      <c r="T95" s="42">
        <v>50000</v>
      </c>
      <c r="U95" s="131">
        <f t="shared" si="11"/>
        <v>0</v>
      </c>
      <c r="V95" s="98">
        <f>(T95-Q95)/Q95</f>
        <v>0.16279069767441862</v>
      </c>
    </row>
    <row r="96" spans="1:22" ht="12.75" hidden="1">
      <c r="A96" s="40"/>
      <c r="B96" s="41">
        <v>34.551</v>
      </c>
      <c r="C96" s="42"/>
      <c r="D96" s="42">
        <v>6575</v>
      </c>
      <c r="E96" s="42"/>
      <c r="F96" s="42">
        <v>16836</v>
      </c>
      <c r="G96" s="42"/>
      <c r="H96" s="42"/>
      <c r="I96" s="42"/>
      <c r="J96" s="42"/>
      <c r="K96" s="42"/>
      <c r="L96" s="42"/>
      <c r="M96" s="42"/>
      <c r="N96" s="42"/>
      <c r="P96" s="31">
        <f>(12/$O$2)*O96</f>
        <v>0</v>
      </c>
      <c r="Q96" s="42"/>
      <c r="R96" s="24">
        <f t="shared" si="9"/>
        <v>0</v>
      </c>
      <c r="S96" s="42"/>
      <c r="T96" s="42"/>
      <c r="U96" s="131" t="e">
        <f t="shared" si="11"/>
        <v>#DIV/0!</v>
      </c>
      <c r="V96" s="98"/>
    </row>
    <row r="97" spans="1:22" ht="12.75">
      <c r="A97" s="40" t="s">
        <v>79</v>
      </c>
      <c r="B97" s="41">
        <v>34.292</v>
      </c>
      <c r="C97" s="42"/>
      <c r="D97" s="42"/>
      <c r="E97" s="42"/>
      <c r="F97" s="42"/>
      <c r="G97" s="42"/>
      <c r="H97" s="42"/>
      <c r="I97" s="42"/>
      <c r="J97" s="42"/>
      <c r="K97" s="42"/>
      <c r="L97" s="42">
        <v>2000</v>
      </c>
      <c r="M97" s="42">
        <v>1500</v>
      </c>
      <c r="N97" s="42"/>
      <c r="O97" s="22">
        <v>1000</v>
      </c>
      <c r="P97" s="31">
        <v>1500</v>
      </c>
      <c r="Q97" s="42"/>
      <c r="R97" s="24">
        <f t="shared" si="9"/>
        <v>1500</v>
      </c>
      <c r="S97" s="42">
        <v>1000</v>
      </c>
      <c r="T97" s="42">
        <v>1000</v>
      </c>
      <c r="U97" s="131"/>
      <c r="V97" s="98"/>
    </row>
    <row r="98" spans="1:22" ht="12.75">
      <c r="A98" s="40" t="s">
        <v>849</v>
      </c>
      <c r="B98" s="41">
        <v>34.551</v>
      </c>
      <c r="C98" s="42">
        <v>1973</v>
      </c>
      <c r="D98" s="42">
        <v>2219</v>
      </c>
      <c r="E98" s="42">
        <v>2448</v>
      </c>
      <c r="F98" s="42">
        <v>2068</v>
      </c>
      <c r="G98" s="42">
        <v>2829</v>
      </c>
      <c r="H98" s="42">
        <v>3422</v>
      </c>
      <c r="I98" s="42">
        <v>2193</v>
      </c>
      <c r="J98" s="42">
        <v>1319</v>
      </c>
      <c r="K98" s="42">
        <v>2437</v>
      </c>
      <c r="L98" s="42">
        <v>1516</v>
      </c>
      <c r="M98" s="42">
        <v>1255</v>
      </c>
      <c r="N98" s="42">
        <v>3219</v>
      </c>
      <c r="O98" s="43">
        <v>4827</v>
      </c>
      <c r="P98" s="31">
        <f>(12/$O$2)*O98</f>
        <v>5265.818181818181</v>
      </c>
      <c r="Q98" s="42">
        <v>3300</v>
      </c>
      <c r="R98" s="24">
        <f t="shared" si="9"/>
        <v>1965.818181818181</v>
      </c>
      <c r="S98" s="42">
        <v>5000</v>
      </c>
      <c r="T98" s="42">
        <v>5000</v>
      </c>
      <c r="U98" s="131">
        <f aca="true" t="shared" si="13" ref="U98:U106">(S98-Q98)/Q98</f>
        <v>0.5151515151515151</v>
      </c>
      <c r="V98" s="98">
        <f>(T98-Q98)/Q98</f>
        <v>0.5151515151515151</v>
      </c>
    </row>
    <row r="99" spans="1:22" ht="12.75" hidden="1">
      <c r="A99" s="40" t="s">
        <v>138</v>
      </c>
      <c r="B99" s="41">
        <v>34.72</v>
      </c>
      <c r="C99" s="42"/>
      <c r="D99" s="42"/>
      <c r="E99" s="42">
        <v>375</v>
      </c>
      <c r="F99" s="42"/>
      <c r="G99" s="42"/>
      <c r="H99" s="42"/>
      <c r="I99" s="42"/>
      <c r="J99" s="42"/>
      <c r="K99" s="42"/>
      <c r="L99" s="42"/>
      <c r="M99" s="42"/>
      <c r="N99" s="42"/>
      <c r="P99" s="31">
        <f>(12/$O$2)*O99</f>
        <v>0</v>
      </c>
      <c r="Q99" s="42"/>
      <c r="R99" s="24">
        <f t="shared" si="9"/>
        <v>0</v>
      </c>
      <c r="S99" s="42"/>
      <c r="T99" s="42"/>
      <c r="U99" s="131" t="e">
        <f t="shared" si="13"/>
        <v>#DIV/0!</v>
      </c>
      <c r="V99" s="98"/>
    </row>
    <row r="100" spans="1:22" ht="12.75" hidden="1">
      <c r="A100" s="40" t="s">
        <v>128</v>
      </c>
      <c r="B100" s="41">
        <v>34.7205</v>
      </c>
      <c r="C100" s="42">
        <v>1251</v>
      </c>
      <c r="D100" s="42">
        <v>4165</v>
      </c>
      <c r="E100" s="42">
        <v>532</v>
      </c>
      <c r="F100" s="42">
        <v>277</v>
      </c>
      <c r="G100" s="42"/>
      <c r="H100" s="42">
        <v>998</v>
      </c>
      <c r="I100" s="42"/>
      <c r="J100" s="42"/>
      <c r="K100" s="42"/>
      <c r="L100" s="42"/>
      <c r="M100" s="42"/>
      <c r="N100" s="42"/>
      <c r="O100" s="43"/>
      <c r="P100" s="31"/>
      <c r="Q100" s="42"/>
      <c r="R100" s="24">
        <f t="shared" si="9"/>
        <v>0</v>
      </c>
      <c r="S100" s="42"/>
      <c r="T100" s="42"/>
      <c r="U100" s="131" t="e">
        <f t="shared" si="13"/>
        <v>#DIV/0!</v>
      </c>
      <c r="V100" s="98"/>
    </row>
    <row r="101" spans="1:22" ht="12.75">
      <c r="A101" s="40" t="s">
        <v>850</v>
      </c>
      <c r="B101" s="41">
        <v>34.721</v>
      </c>
      <c r="C101" s="42">
        <v>1650</v>
      </c>
      <c r="D101" s="42">
        <v>1620</v>
      </c>
      <c r="E101" s="42">
        <v>970</v>
      </c>
      <c r="F101" s="42">
        <v>2030</v>
      </c>
      <c r="G101" s="42">
        <v>1365</v>
      </c>
      <c r="H101" s="42">
        <v>1305</v>
      </c>
      <c r="I101" s="42">
        <v>1925</v>
      </c>
      <c r="J101" s="42">
        <v>2540</v>
      </c>
      <c r="K101" s="42">
        <v>3546</v>
      </c>
      <c r="L101" s="42">
        <v>2645</v>
      </c>
      <c r="M101" s="42">
        <v>3488</v>
      </c>
      <c r="N101" s="42">
        <v>3600</v>
      </c>
      <c r="O101" s="31">
        <v>1275</v>
      </c>
      <c r="P101" s="31">
        <v>1300</v>
      </c>
      <c r="Q101" s="42">
        <v>3600</v>
      </c>
      <c r="R101" s="24">
        <f t="shared" si="9"/>
        <v>-2300</v>
      </c>
      <c r="S101" s="42">
        <v>2000</v>
      </c>
      <c r="T101" s="42">
        <v>2000</v>
      </c>
      <c r="U101" s="131">
        <f t="shared" si="13"/>
        <v>-0.4444444444444444</v>
      </c>
      <c r="V101" s="98">
        <f>(T101-Q101)/Q101</f>
        <v>-0.4444444444444444</v>
      </c>
    </row>
    <row r="102" spans="1:22" ht="12.75">
      <c r="A102" s="40" t="s">
        <v>851</v>
      </c>
      <c r="B102" s="41">
        <v>34.7212</v>
      </c>
      <c r="C102" s="42">
        <v>1295</v>
      </c>
      <c r="D102" s="42"/>
      <c r="E102" s="42">
        <v>597</v>
      </c>
      <c r="F102" s="42">
        <v>2759</v>
      </c>
      <c r="G102" s="42">
        <v>75</v>
      </c>
      <c r="H102" s="42"/>
      <c r="I102" s="42"/>
      <c r="J102" s="42"/>
      <c r="K102" s="42">
        <v>1050</v>
      </c>
      <c r="L102" s="42"/>
      <c r="M102" s="42">
        <v>0</v>
      </c>
      <c r="N102" s="42">
        <v>250</v>
      </c>
      <c r="O102" s="43">
        <v>1225</v>
      </c>
      <c r="P102" s="31">
        <v>1300</v>
      </c>
      <c r="Q102" s="42">
        <v>1000</v>
      </c>
      <c r="R102" s="24">
        <f t="shared" si="9"/>
        <v>300</v>
      </c>
      <c r="S102" s="42">
        <v>1000</v>
      </c>
      <c r="T102" s="42">
        <v>1000</v>
      </c>
      <c r="U102" s="131">
        <f t="shared" si="13"/>
        <v>0</v>
      </c>
      <c r="V102" s="98"/>
    </row>
    <row r="103" spans="1:22" ht="12.75" hidden="1">
      <c r="A103" s="40" t="s">
        <v>129</v>
      </c>
      <c r="B103" s="41">
        <v>34.7214</v>
      </c>
      <c r="C103" s="42"/>
      <c r="D103" s="42"/>
      <c r="E103" s="42">
        <v>300</v>
      </c>
      <c r="F103" s="42"/>
      <c r="G103" s="42"/>
      <c r="H103" s="42"/>
      <c r="I103" s="42"/>
      <c r="J103" s="42"/>
      <c r="K103" s="42"/>
      <c r="L103" s="42"/>
      <c r="M103" s="42"/>
      <c r="N103" s="42"/>
      <c r="P103" s="31"/>
      <c r="Q103" s="42"/>
      <c r="R103" s="24">
        <f t="shared" si="9"/>
        <v>0</v>
      </c>
      <c r="S103" s="42"/>
      <c r="T103" s="42"/>
      <c r="U103" s="131" t="e">
        <f t="shared" si="13"/>
        <v>#DIV/0!</v>
      </c>
      <c r="V103" s="98"/>
    </row>
    <row r="104" spans="1:22" ht="12.75">
      <c r="A104" s="40" t="s">
        <v>852</v>
      </c>
      <c r="B104" s="41">
        <v>34.731</v>
      </c>
      <c r="C104" s="42">
        <v>2200</v>
      </c>
      <c r="D104" s="42">
        <v>4254</v>
      </c>
      <c r="E104" s="42">
        <v>4234</v>
      </c>
      <c r="F104" s="42">
        <v>2673</v>
      </c>
      <c r="G104" s="42">
        <v>3479</v>
      </c>
      <c r="H104" s="42">
        <v>3785</v>
      </c>
      <c r="I104" s="42">
        <v>5391</v>
      </c>
      <c r="J104" s="42">
        <v>6709</v>
      </c>
      <c r="K104" s="42">
        <v>7277</v>
      </c>
      <c r="L104" s="42">
        <v>6983</v>
      </c>
      <c r="M104" s="42">
        <v>4359.4</v>
      </c>
      <c r="N104" s="42">
        <v>3863</v>
      </c>
      <c r="O104" s="31">
        <v>7090</v>
      </c>
      <c r="P104" s="31">
        <v>7100</v>
      </c>
      <c r="Q104" s="42">
        <v>5000</v>
      </c>
      <c r="R104" s="24">
        <f t="shared" si="9"/>
        <v>2100</v>
      </c>
      <c r="S104" s="42">
        <v>7100</v>
      </c>
      <c r="T104" s="42">
        <v>7100</v>
      </c>
      <c r="U104" s="131">
        <f t="shared" si="13"/>
        <v>0.42</v>
      </c>
      <c r="V104" s="98">
        <f>(T104-Q104)/Q104</f>
        <v>0.42</v>
      </c>
    </row>
    <row r="105" spans="1:22" ht="12.75" hidden="1">
      <c r="A105" s="40" t="s">
        <v>518</v>
      </c>
      <c r="B105" s="41">
        <v>34.7312</v>
      </c>
      <c r="C105" s="42"/>
      <c r="D105" s="42"/>
      <c r="E105" s="42"/>
      <c r="F105" s="42">
        <v>1708</v>
      </c>
      <c r="G105" s="42"/>
      <c r="H105" s="42"/>
      <c r="I105" s="42"/>
      <c r="J105" s="42"/>
      <c r="K105" s="42"/>
      <c r="L105" s="42"/>
      <c r="M105" s="42"/>
      <c r="N105" s="42"/>
      <c r="O105" s="43"/>
      <c r="P105" s="31"/>
      <c r="Q105" s="42"/>
      <c r="R105" s="24">
        <f t="shared" si="9"/>
        <v>0</v>
      </c>
      <c r="S105" s="42"/>
      <c r="T105" s="42"/>
      <c r="U105" s="131" t="e">
        <f t="shared" si="13"/>
        <v>#DIV/0!</v>
      </c>
      <c r="V105" s="98"/>
    </row>
    <row r="106" spans="1:22" ht="12.75">
      <c r="A106" s="44" t="s">
        <v>853</v>
      </c>
      <c r="B106" s="41">
        <v>34.7315</v>
      </c>
      <c r="C106" s="42"/>
      <c r="D106" s="42"/>
      <c r="E106" s="42"/>
      <c r="F106" s="42">
        <v>10185</v>
      </c>
      <c r="G106" s="42">
        <v>12638</v>
      </c>
      <c r="H106" s="42">
        <v>10915</v>
      </c>
      <c r="I106" s="42">
        <v>11235</v>
      </c>
      <c r="J106" s="42">
        <v>7804</v>
      </c>
      <c r="K106" s="42">
        <v>10904</v>
      </c>
      <c r="L106" s="42">
        <v>4360</v>
      </c>
      <c r="M106" s="42">
        <v>6031</v>
      </c>
      <c r="N106" s="42">
        <v>3820</v>
      </c>
      <c r="O106" s="31">
        <v>5960</v>
      </c>
      <c r="P106" s="31">
        <v>6000</v>
      </c>
      <c r="Q106" s="42">
        <v>6000</v>
      </c>
      <c r="R106" s="24">
        <f t="shared" si="9"/>
        <v>0</v>
      </c>
      <c r="S106" s="42">
        <v>6000</v>
      </c>
      <c r="T106" s="42">
        <v>6000</v>
      </c>
      <c r="U106" s="131">
        <f t="shared" si="13"/>
        <v>0</v>
      </c>
      <c r="V106" s="98">
        <f>(T106-Q106)/Q106</f>
        <v>0</v>
      </c>
    </row>
    <row r="107" spans="1:22" ht="12" customHeight="1">
      <c r="A107" s="44" t="s">
        <v>858</v>
      </c>
      <c r="B107" s="41">
        <v>34.7318</v>
      </c>
      <c r="C107" s="42"/>
      <c r="D107" s="42"/>
      <c r="E107" s="42"/>
      <c r="F107" s="42"/>
      <c r="G107" s="42"/>
      <c r="H107" s="42">
        <v>2750</v>
      </c>
      <c r="I107" s="42">
        <v>2072</v>
      </c>
      <c r="J107" s="42">
        <v>1709</v>
      </c>
      <c r="K107" s="42">
        <v>1366</v>
      </c>
      <c r="L107" s="42">
        <v>1050</v>
      </c>
      <c r="M107" s="42">
        <v>0</v>
      </c>
      <c r="N107" s="42"/>
      <c r="O107" s="43"/>
      <c r="P107" s="31"/>
      <c r="Q107" s="42"/>
      <c r="R107" s="24">
        <f t="shared" si="9"/>
        <v>0</v>
      </c>
      <c r="S107" s="42"/>
      <c r="T107" s="42"/>
      <c r="U107" s="131"/>
      <c r="V107" s="98"/>
    </row>
    <row r="108" spans="1:22" ht="12.75" hidden="1">
      <c r="A108" s="40" t="s">
        <v>857</v>
      </c>
      <c r="B108" s="41">
        <v>34.732</v>
      </c>
      <c r="C108" s="42">
        <v>497</v>
      </c>
      <c r="D108" s="42"/>
      <c r="E108" s="42"/>
      <c r="F108" s="42">
        <v>728</v>
      </c>
      <c r="G108" s="42"/>
      <c r="H108" s="42">
        <v>125</v>
      </c>
      <c r="I108" s="42"/>
      <c r="J108" s="42"/>
      <c r="K108" s="42"/>
      <c r="L108" s="42"/>
      <c r="M108" s="42"/>
      <c r="N108" s="42"/>
      <c r="O108" s="43"/>
      <c r="P108" s="31"/>
      <c r="Q108" s="42"/>
      <c r="R108" s="24">
        <f t="shared" si="9"/>
        <v>0</v>
      </c>
      <c r="S108" s="42"/>
      <c r="T108" s="42"/>
      <c r="U108" s="131"/>
      <c r="V108" s="98"/>
    </row>
    <row r="109" spans="1:22" ht="12.75" hidden="1">
      <c r="A109" s="40" t="s">
        <v>856</v>
      </c>
      <c r="B109" s="41">
        <v>34.733</v>
      </c>
      <c r="C109" s="42" t="s">
        <v>130</v>
      </c>
      <c r="D109" s="42">
        <v>900</v>
      </c>
      <c r="E109" s="42">
        <v>2056</v>
      </c>
      <c r="F109" s="42">
        <v>2337</v>
      </c>
      <c r="G109" s="42">
        <v>187</v>
      </c>
      <c r="H109" s="42"/>
      <c r="I109" s="42">
        <v>400</v>
      </c>
      <c r="J109" s="42"/>
      <c r="K109" s="42"/>
      <c r="L109" s="42"/>
      <c r="M109" s="42"/>
      <c r="N109" s="42"/>
      <c r="O109" s="43"/>
      <c r="P109" s="31"/>
      <c r="Q109" s="42"/>
      <c r="R109" s="24">
        <f t="shared" si="9"/>
        <v>0</v>
      </c>
      <c r="S109" s="42"/>
      <c r="T109" s="42"/>
      <c r="U109" s="131"/>
      <c r="V109" s="98"/>
    </row>
    <row r="110" spans="1:22" ht="12.75">
      <c r="A110" s="40" t="s">
        <v>958</v>
      </c>
      <c r="B110" s="41">
        <v>34.75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>
        <v>90</v>
      </c>
      <c r="O110" s="43"/>
      <c r="P110" s="31"/>
      <c r="Q110" s="42">
        <v>2500</v>
      </c>
      <c r="R110" s="24">
        <f t="shared" si="9"/>
        <v>-2500</v>
      </c>
      <c r="S110" s="42"/>
      <c r="T110" s="42"/>
      <c r="U110" s="131"/>
      <c r="V110" s="98"/>
    </row>
    <row r="111" spans="1:22" ht="12.75">
      <c r="A111" s="40" t="s">
        <v>855</v>
      </c>
      <c r="B111" s="41">
        <v>34.751</v>
      </c>
      <c r="C111" s="42">
        <v>10240</v>
      </c>
      <c r="D111" s="42">
        <v>10084</v>
      </c>
      <c r="E111" s="42">
        <v>1700</v>
      </c>
      <c r="F111" s="42">
        <v>9603</v>
      </c>
      <c r="G111" s="42">
        <v>10414</v>
      </c>
      <c r="H111" s="42">
        <v>11535</v>
      </c>
      <c r="I111" s="42">
        <v>8270</v>
      </c>
      <c r="J111" s="42">
        <v>10284</v>
      </c>
      <c r="K111" s="42">
        <v>10025</v>
      </c>
      <c r="L111" s="42">
        <v>8607</v>
      </c>
      <c r="M111" s="42">
        <v>6911</v>
      </c>
      <c r="N111" s="42">
        <v>11231</v>
      </c>
      <c r="O111" s="31">
        <v>9525</v>
      </c>
      <c r="P111" s="31">
        <v>10000</v>
      </c>
      <c r="Q111" s="42">
        <v>10000</v>
      </c>
      <c r="R111" s="24">
        <f t="shared" si="9"/>
        <v>0</v>
      </c>
      <c r="S111" s="42">
        <v>10000</v>
      </c>
      <c r="T111" s="42">
        <v>10000</v>
      </c>
      <c r="U111" s="131">
        <f>(S111-Q111)/Q111</f>
        <v>0</v>
      </c>
      <c r="V111" s="98">
        <f>(T111-Q111)/Q111</f>
        <v>0</v>
      </c>
    </row>
    <row r="112" spans="1:22" ht="12.75">
      <c r="A112" s="40" t="s">
        <v>248</v>
      </c>
      <c r="B112" s="41">
        <v>34.7515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>
        <v>1308</v>
      </c>
      <c r="N112" s="42"/>
      <c r="O112" s="31"/>
      <c r="P112" s="31"/>
      <c r="Q112" s="42">
        <v>3000</v>
      </c>
      <c r="R112" s="24">
        <f t="shared" si="9"/>
        <v>-3000</v>
      </c>
      <c r="S112" s="42"/>
      <c r="T112" s="42"/>
      <c r="U112" s="131"/>
      <c r="V112" s="98" t="s">
        <v>925</v>
      </c>
    </row>
    <row r="113" spans="1:22" ht="12.75">
      <c r="A113" s="40" t="s">
        <v>854</v>
      </c>
      <c r="B113" s="41">
        <v>34.752</v>
      </c>
      <c r="C113" s="42">
        <v>3720</v>
      </c>
      <c r="D113" s="42">
        <v>3720</v>
      </c>
      <c r="E113" s="42">
        <v>3900</v>
      </c>
      <c r="F113" s="42">
        <v>4200</v>
      </c>
      <c r="G113" s="42">
        <v>3232</v>
      </c>
      <c r="H113" s="42">
        <v>3300</v>
      </c>
      <c r="I113" s="42">
        <v>3080</v>
      </c>
      <c r="J113" s="42">
        <v>2660</v>
      </c>
      <c r="K113" s="42">
        <v>2649</v>
      </c>
      <c r="L113" s="42">
        <v>2968</v>
      </c>
      <c r="M113" s="42">
        <v>2409</v>
      </c>
      <c r="N113" s="42"/>
      <c r="O113" s="31"/>
      <c r="P113" s="31"/>
      <c r="Q113" s="42">
        <v>2500</v>
      </c>
      <c r="R113" s="24">
        <f t="shared" si="9"/>
        <v>-2500</v>
      </c>
      <c r="S113" s="42"/>
      <c r="T113" s="42">
        <v>1200</v>
      </c>
      <c r="U113" s="131">
        <f>(S113-Q113)/Q113</f>
        <v>-1</v>
      </c>
      <c r="V113" s="98">
        <f>(T113-Q113)/Q113</f>
        <v>-0.52</v>
      </c>
    </row>
    <row r="114" spans="1:22" ht="12.75">
      <c r="A114" s="44" t="s">
        <v>533</v>
      </c>
      <c r="B114" s="41">
        <v>34.753</v>
      </c>
      <c r="C114" s="42"/>
      <c r="D114" s="42"/>
      <c r="E114" s="42">
        <v>7280</v>
      </c>
      <c r="F114" s="42"/>
      <c r="G114" s="42">
        <v>260</v>
      </c>
      <c r="H114" s="42"/>
      <c r="I114" s="42">
        <v>2797</v>
      </c>
      <c r="J114" s="42"/>
      <c r="K114" s="42"/>
      <c r="L114" s="42"/>
      <c r="M114" s="42">
        <v>0</v>
      </c>
      <c r="N114" s="42"/>
      <c r="P114" s="31"/>
      <c r="Q114" s="42"/>
      <c r="R114" s="24">
        <f t="shared" si="9"/>
        <v>0</v>
      </c>
      <c r="S114" s="42"/>
      <c r="T114" s="42"/>
      <c r="U114" s="131"/>
      <c r="V114" s="98"/>
    </row>
    <row r="115" spans="1:22" ht="12.75">
      <c r="A115" s="40" t="s">
        <v>859</v>
      </c>
      <c r="B115" s="41">
        <v>34.754</v>
      </c>
      <c r="C115" s="42">
        <v>3184</v>
      </c>
      <c r="D115" s="42">
        <v>1846</v>
      </c>
      <c r="E115" s="42">
        <v>944</v>
      </c>
      <c r="F115" s="42">
        <v>1955</v>
      </c>
      <c r="G115" s="42">
        <v>2600</v>
      </c>
      <c r="H115" s="42">
        <v>2185</v>
      </c>
      <c r="I115" s="42"/>
      <c r="J115" s="42">
        <v>801</v>
      </c>
      <c r="K115" s="42">
        <v>1308</v>
      </c>
      <c r="L115" s="42">
        <v>1396</v>
      </c>
      <c r="M115" s="42">
        <v>1803</v>
      </c>
      <c r="N115" s="42"/>
      <c r="P115" s="31"/>
      <c r="Q115" s="42">
        <v>2000</v>
      </c>
      <c r="R115" s="24">
        <f t="shared" si="9"/>
        <v>-2000</v>
      </c>
      <c r="S115" s="42">
        <v>1800</v>
      </c>
      <c r="T115" s="42">
        <v>1800</v>
      </c>
      <c r="U115" s="131">
        <f aca="true" t="shared" si="14" ref="U115:U121">(S115-Q115)/Q115</f>
        <v>-0.1</v>
      </c>
      <c r="V115" s="98">
        <f>(T115-Q115)/Q115</f>
        <v>-0.1</v>
      </c>
    </row>
    <row r="116" spans="1:22" ht="12.75" hidden="1">
      <c r="A116" s="44" t="s">
        <v>334</v>
      </c>
      <c r="B116" s="41">
        <v>34.755</v>
      </c>
      <c r="C116" s="42"/>
      <c r="D116" s="42"/>
      <c r="E116" s="42">
        <v>-105</v>
      </c>
      <c r="F116" s="42">
        <v>250</v>
      </c>
      <c r="G116" s="42"/>
      <c r="H116" s="42"/>
      <c r="I116" s="42"/>
      <c r="J116" s="42"/>
      <c r="K116" s="42"/>
      <c r="L116" s="42"/>
      <c r="M116" s="42"/>
      <c r="N116" s="42"/>
      <c r="P116" s="31"/>
      <c r="Q116" s="42"/>
      <c r="R116" s="24">
        <f t="shared" si="9"/>
        <v>0</v>
      </c>
      <c r="S116" s="42"/>
      <c r="T116" s="42"/>
      <c r="U116" s="131" t="e">
        <f t="shared" si="14"/>
        <v>#DIV/0!</v>
      </c>
      <c r="V116" s="98"/>
    </row>
    <row r="117" spans="1:22" ht="12.75" hidden="1">
      <c r="A117" s="44" t="s">
        <v>131</v>
      </c>
      <c r="B117" s="41">
        <v>34.756</v>
      </c>
      <c r="C117" s="42"/>
      <c r="D117" s="42"/>
      <c r="E117" s="42">
        <v>500</v>
      </c>
      <c r="F117" s="42"/>
      <c r="G117" s="42"/>
      <c r="H117" s="42"/>
      <c r="I117" s="42"/>
      <c r="J117" s="42"/>
      <c r="K117" s="42"/>
      <c r="L117" s="42"/>
      <c r="M117" s="42"/>
      <c r="N117" s="42"/>
      <c r="P117" s="31"/>
      <c r="Q117" s="42"/>
      <c r="R117" s="24">
        <f t="shared" si="9"/>
        <v>0</v>
      </c>
      <c r="S117" s="42"/>
      <c r="T117" s="42"/>
      <c r="U117" s="131" t="e">
        <f t="shared" si="14"/>
        <v>#DIV/0!</v>
      </c>
      <c r="V117" s="98"/>
    </row>
    <row r="118" spans="1:23" ht="12.75" hidden="1">
      <c r="A118" s="44" t="s">
        <v>519</v>
      </c>
      <c r="B118" s="41">
        <v>34.79</v>
      </c>
      <c r="C118" s="42"/>
      <c r="D118" s="42"/>
      <c r="E118" s="42"/>
      <c r="F118" s="42">
        <v>380</v>
      </c>
      <c r="G118" s="42"/>
      <c r="H118" s="42"/>
      <c r="I118" s="42"/>
      <c r="J118" s="42"/>
      <c r="K118" s="42"/>
      <c r="L118" s="42"/>
      <c r="M118" s="42"/>
      <c r="N118" s="42"/>
      <c r="P118" s="31"/>
      <c r="Q118" s="42"/>
      <c r="R118" s="24">
        <f t="shared" si="9"/>
        <v>0</v>
      </c>
      <c r="S118" s="42"/>
      <c r="T118" s="42"/>
      <c r="U118" s="131" t="e">
        <f t="shared" si="14"/>
        <v>#DIV/0!</v>
      </c>
      <c r="V118" s="98"/>
      <c r="W118" s="4">
        <v>35.113</v>
      </c>
    </row>
    <row r="119" spans="1:23" ht="12.75">
      <c r="A119" s="40" t="s">
        <v>860</v>
      </c>
      <c r="B119" s="41">
        <v>34.791</v>
      </c>
      <c r="C119" s="42">
        <v>4236</v>
      </c>
      <c r="D119" s="42">
        <v>7396</v>
      </c>
      <c r="E119" s="42">
        <v>6413</v>
      </c>
      <c r="F119" s="42">
        <v>5837</v>
      </c>
      <c r="G119" s="42">
        <v>8102</v>
      </c>
      <c r="H119" s="42">
        <v>7101</v>
      </c>
      <c r="I119" s="42">
        <v>12177</v>
      </c>
      <c r="J119" s="42">
        <v>10166</v>
      </c>
      <c r="K119" s="42">
        <v>9118</v>
      </c>
      <c r="L119" s="42">
        <v>9981</v>
      </c>
      <c r="M119" s="42">
        <v>4346.1</v>
      </c>
      <c r="N119" s="42">
        <v>6183</v>
      </c>
      <c r="O119" s="31">
        <v>6315</v>
      </c>
      <c r="P119" s="31">
        <v>6500</v>
      </c>
      <c r="Q119" s="42">
        <v>9000</v>
      </c>
      <c r="R119" s="24">
        <f t="shared" si="9"/>
        <v>-2500</v>
      </c>
      <c r="S119" s="42">
        <v>6500</v>
      </c>
      <c r="T119" s="42">
        <v>6500</v>
      </c>
      <c r="U119" s="131">
        <f t="shared" si="14"/>
        <v>-0.2777777777777778</v>
      </c>
      <c r="V119" s="98">
        <f>(T119-Q119)/Q119</f>
        <v>-0.2777777777777778</v>
      </c>
      <c r="W119" s="4"/>
    </row>
    <row r="120" spans="1:23" ht="12.75">
      <c r="A120" s="40" t="s">
        <v>861</v>
      </c>
      <c r="B120" s="41">
        <v>34.792</v>
      </c>
      <c r="C120" s="42">
        <v>1739</v>
      </c>
      <c r="D120" s="42">
        <v>2200</v>
      </c>
      <c r="E120" s="42">
        <v>2330</v>
      </c>
      <c r="F120" s="42">
        <v>2525</v>
      </c>
      <c r="G120" s="42">
        <v>2300</v>
      </c>
      <c r="H120" s="42">
        <v>2050</v>
      </c>
      <c r="I120" s="42">
        <v>2072</v>
      </c>
      <c r="J120" s="42">
        <v>1185</v>
      </c>
      <c r="K120" s="42">
        <v>1645</v>
      </c>
      <c r="L120" s="42">
        <v>2542</v>
      </c>
      <c r="M120" s="42">
        <v>1100</v>
      </c>
      <c r="N120" s="42"/>
      <c r="O120" s="31"/>
      <c r="P120" s="31"/>
      <c r="Q120" s="42">
        <v>2000</v>
      </c>
      <c r="R120" s="24">
        <f t="shared" si="9"/>
        <v>-2000</v>
      </c>
      <c r="S120" s="42"/>
      <c r="T120" s="42">
        <v>1500</v>
      </c>
      <c r="U120" s="131">
        <f t="shared" si="14"/>
        <v>-1</v>
      </c>
      <c r="V120" s="98">
        <f>(T120-Q120)/Q120</f>
        <v>-0.25</v>
      </c>
      <c r="W120" s="4"/>
    </row>
    <row r="121" spans="1:22" ht="12.75">
      <c r="A121" s="40" t="s">
        <v>862</v>
      </c>
      <c r="B121" s="41">
        <v>34.793</v>
      </c>
      <c r="C121" s="42">
        <v>3590</v>
      </c>
      <c r="D121" s="42">
        <v>3650</v>
      </c>
      <c r="E121" s="42">
        <v>1850</v>
      </c>
      <c r="F121" s="42">
        <v>3650</v>
      </c>
      <c r="G121" s="42">
        <v>3830</v>
      </c>
      <c r="H121" s="42">
        <v>1900</v>
      </c>
      <c r="I121" s="42">
        <v>8019</v>
      </c>
      <c r="J121" s="42">
        <v>6592</v>
      </c>
      <c r="K121" s="42">
        <v>5857</v>
      </c>
      <c r="L121" s="42">
        <v>6341</v>
      </c>
      <c r="M121" s="42">
        <v>1501</v>
      </c>
      <c r="N121" s="42">
        <v>2450</v>
      </c>
      <c r="O121" s="31">
        <v>3560</v>
      </c>
      <c r="P121" s="31">
        <v>3600</v>
      </c>
      <c r="Q121" s="42">
        <v>2500</v>
      </c>
      <c r="R121" s="24">
        <f t="shared" si="9"/>
        <v>1100</v>
      </c>
      <c r="S121" s="42">
        <v>2500</v>
      </c>
      <c r="T121" s="42">
        <v>2500</v>
      </c>
      <c r="U121" s="131">
        <f t="shared" si="14"/>
        <v>0</v>
      </c>
      <c r="V121" s="98">
        <f>(T121-Q121)/Q121</f>
        <v>0</v>
      </c>
    </row>
    <row r="122" spans="1:23" ht="12.75" hidden="1">
      <c r="A122" s="40" t="s">
        <v>601</v>
      </c>
      <c r="B122" s="41">
        <v>34.7935</v>
      </c>
      <c r="C122" s="42"/>
      <c r="D122" s="42"/>
      <c r="E122" s="42"/>
      <c r="F122" s="42"/>
      <c r="G122" s="42"/>
      <c r="H122" s="42">
        <v>25</v>
      </c>
      <c r="I122" s="42"/>
      <c r="J122" s="42"/>
      <c r="K122" s="42"/>
      <c r="L122" s="42"/>
      <c r="M122" s="42"/>
      <c r="N122" s="42"/>
      <c r="O122" s="43"/>
      <c r="P122" s="31"/>
      <c r="Q122" s="42"/>
      <c r="R122" s="24">
        <f t="shared" si="9"/>
        <v>0</v>
      </c>
      <c r="S122" s="42"/>
      <c r="T122" s="42"/>
      <c r="U122" s="131"/>
      <c r="V122" s="98"/>
      <c r="W122" s="4">
        <v>38.9053</v>
      </c>
    </row>
    <row r="123" spans="1:23" ht="12.75" hidden="1">
      <c r="A123" s="44" t="s">
        <v>409</v>
      </c>
      <c r="B123" s="41">
        <v>34.794</v>
      </c>
      <c r="C123" s="42"/>
      <c r="D123" s="42"/>
      <c r="F123" s="22">
        <v>424</v>
      </c>
      <c r="O123" s="42"/>
      <c r="P123" s="31"/>
      <c r="Q123" s="42"/>
      <c r="R123" s="24">
        <f t="shared" si="9"/>
        <v>0</v>
      </c>
      <c r="S123" s="42"/>
      <c r="T123" s="42"/>
      <c r="U123" s="131" t="e">
        <f>(S123-Q123)/Q123</f>
        <v>#DIV/0!</v>
      </c>
      <c r="V123" s="98"/>
      <c r="W123" s="4">
        <v>38.9055</v>
      </c>
    </row>
    <row r="124" spans="1:23" ht="12.75" hidden="1">
      <c r="A124" s="44" t="s">
        <v>410</v>
      </c>
      <c r="B124" s="41">
        <v>34.9</v>
      </c>
      <c r="C124" s="42"/>
      <c r="D124" s="42"/>
      <c r="F124" s="22">
        <v>425</v>
      </c>
      <c r="O124" s="42"/>
      <c r="P124" s="31"/>
      <c r="Q124" s="42"/>
      <c r="R124" s="24">
        <f t="shared" si="9"/>
        <v>0</v>
      </c>
      <c r="S124" s="42"/>
      <c r="T124" s="42"/>
      <c r="U124" s="131" t="e">
        <f>(S124-Q124)/Q124</f>
        <v>#DIV/0!</v>
      </c>
      <c r="V124" s="98"/>
      <c r="W124" s="4">
        <v>38.9057</v>
      </c>
    </row>
    <row r="125" spans="1:23" ht="12.75">
      <c r="A125" s="44" t="s">
        <v>995</v>
      </c>
      <c r="B125" s="41">
        <v>34.7945</v>
      </c>
      <c r="C125" s="42"/>
      <c r="D125" s="42"/>
      <c r="N125" s="22">
        <v>120</v>
      </c>
      <c r="O125" s="42"/>
      <c r="P125" s="31"/>
      <c r="Q125" s="42">
        <v>300</v>
      </c>
      <c r="R125" s="24">
        <f t="shared" si="9"/>
        <v>-300</v>
      </c>
      <c r="S125" s="42"/>
      <c r="T125" s="42"/>
      <c r="U125" s="131"/>
      <c r="V125" s="98"/>
      <c r="W125" s="4"/>
    </row>
    <row r="126" spans="1:23" ht="12.75">
      <c r="A126" s="44" t="s">
        <v>1016</v>
      </c>
      <c r="B126" s="41">
        <v>35.11</v>
      </c>
      <c r="C126" s="42"/>
      <c r="D126" s="42"/>
      <c r="O126" s="42">
        <v>11827</v>
      </c>
      <c r="P126" s="31">
        <v>12000</v>
      </c>
      <c r="Q126" s="42"/>
      <c r="R126" s="24"/>
      <c r="S126" s="42"/>
      <c r="T126" s="42"/>
      <c r="U126" s="131"/>
      <c r="V126" s="98"/>
      <c r="W126" s="4"/>
    </row>
    <row r="127" spans="1:23" ht="12.75">
      <c r="A127" s="40" t="s">
        <v>863</v>
      </c>
      <c r="B127" s="41">
        <v>35.111</v>
      </c>
      <c r="C127" s="42">
        <v>158390</v>
      </c>
      <c r="D127" s="42">
        <v>143788</v>
      </c>
      <c r="E127" s="42">
        <v>221147</v>
      </c>
      <c r="F127" s="42">
        <v>175880</v>
      </c>
      <c r="G127" s="42">
        <v>219989</v>
      </c>
      <c r="H127" s="42">
        <f>235224+13317</f>
        <v>248541</v>
      </c>
      <c r="I127" s="42">
        <f>183667+30</f>
        <v>183697</v>
      </c>
      <c r="J127" s="42">
        <v>207484.05</v>
      </c>
      <c r="K127" s="42">
        <v>190034</v>
      </c>
      <c r="L127" s="42">
        <f>169720+13096</f>
        <v>182816</v>
      </c>
      <c r="M127" s="42">
        <v>147777</v>
      </c>
      <c r="N127" s="42">
        <v>167937</v>
      </c>
      <c r="O127" s="31">
        <v>110194</v>
      </c>
      <c r="P127" s="31">
        <f aca="true" t="shared" si="15" ref="P127:P133">(12/$O$2)*O127</f>
        <v>120211.63636363635</v>
      </c>
      <c r="Q127" s="42">
        <v>150000</v>
      </c>
      <c r="R127" s="24">
        <f t="shared" si="9"/>
        <v>-29788.363636363647</v>
      </c>
      <c r="S127" s="42">
        <v>150000</v>
      </c>
      <c r="T127" s="42">
        <v>160000</v>
      </c>
      <c r="U127" s="131">
        <f>(S127-Q127)/Q127</f>
        <v>0</v>
      </c>
      <c r="V127" s="98">
        <f>(T127-Q127)/Q127</f>
        <v>0.06666666666666667</v>
      </c>
      <c r="W127" s="4"/>
    </row>
    <row r="128" spans="1:22" ht="12.75">
      <c r="A128" s="40" t="s">
        <v>864</v>
      </c>
      <c r="B128" s="41">
        <v>35.113</v>
      </c>
      <c r="C128" s="42">
        <v>61288</v>
      </c>
      <c r="D128" s="42">
        <v>69440</v>
      </c>
      <c r="E128" s="42">
        <v>67907</v>
      </c>
      <c r="F128" s="42">
        <v>76448</v>
      </c>
      <c r="G128" s="42">
        <v>62421</v>
      </c>
      <c r="H128" s="42">
        <f>62128+8368</f>
        <v>70496</v>
      </c>
      <c r="I128" s="42">
        <v>68415</v>
      </c>
      <c r="J128" s="42">
        <v>62360</v>
      </c>
      <c r="K128" s="42">
        <v>84113</v>
      </c>
      <c r="L128" s="42">
        <v>71981</v>
      </c>
      <c r="M128" s="42">
        <v>81396</v>
      </c>
      <c r="N128" s="42">
        <v>65352</v>
      </c>
      <c r="O128" s="31">
        <v>64728</v>
      </c>
      <c r="P128" s="31">
        <f t="shared" si="15"/>
        <v>70612.36363636363</v>
      </c>
      <c r="Q128" s="42">
        <v>55000</v>
      </c>
      <c r="R128" s="24">
        <f t="shared" si="9"/>
        <v>15612.363636363632</v>
      </c>
      <c r="S128" s="42">
        <v>65000</v>
      </c>
      <c r="T128" s="42">
        <v>75000</v>
      </c>
      <c r="U128" s="131">
        <f>(S128-Q128)/Q128</f>
        <v>0.18181818181818182</v>
      </c>
      <c r="V128" s="98">
        <f>(T128-Q128)/Q128</f>
        <v>0.36363636363636365</v>
      </c>
    </row>
    <row r="129" spans="1:22" ht="12.75">
      <c r="A129" s="40" t="s">
        <v>865</v>
      </c>
      <c r="B129" s="41">
        <v>35.115</v>
      </c>
      <c r="C129" s="42">
        <v>118429</v>
      </c>
      <c r="D129" s="42">
        <v>114273</v>
      </c>
      <c r="E129" s="42">
        <v>119520</v>
      </c>
      <c r="F129" s="42">
        <v>118290</v>
      </c>
      <c r="G129" s="42">
        <v>131578</v>
      </c>
      <c r="H129" s="42">
        <f>141867+11304</f>
        <v>153171</v>
      </c>
      <c r="I129" s="42">
        <f>131729+13333</f>
        <v>145062</v>
      </c>
      <c r="J129" s="42">
        <v>195037.34</v>
      </c>
      <c r="K129" s="42">
        <v>200573</v>
      </c>
      <c r="L129" s="42">
        <f>204323+22920</f>
        <v>227243</v>
      </c>
      <c r="M129" s="42">
        <v>251439</v>
      </c>
      <c r="N129" s="42">
        <v>270701</v>
      </c>
      <c r="O129" s="31">
        <v>287510</v>
      </c>
      <c r="P129" s="31">
        <f t="shared" si="15"/>
        <v>313647.2727272727</v>
      </c>
      <c r="Q129" s="42">
        <v>230000</v>
      </c>
      <c r="R129" s="24">
        <f>P129-Q129</f>
        <v>83647.2727272727</v>
      </c>
      <c r="S129" s="42">
        <v>270000</v>
      </c>
      <c r="T129" s="42">
        <v>310000</v>
      </c>
      <c r="U129" s="131">
        <f>(S129-Q129)/Q129</f>
        <v>0.17391304347826086</v>
      </c>
      <c r="V129" s="98">
        <f>(T129-Q129)/Q129</f>
        <v>0.34782608695652173</v>
      </c>
    </row>
    <row r="130" spans="1:22" ht="12.75" hidden="1">
      <c r="A130" s="40" t="s">
        <v>590</v>
      </c>
      <c r="B130" s="41">
        <v>35.116</v>
      </c>
      <c r="C130" s="42"/>
      <c r="D130" s="42"/>
      <c r="E130" s="42"/>
      <c r="F130" s="42"/>
      <c r="G130" s="42"/>
      <c r="H130" s="42">
        <f>2655+353+353+353+1230</f>
        <v>4944</v>
      </c>
      <c r="I130" s="42">
        <f>822+353+353+353+353</f>
        <v>2234</v>
      </c>
      <c r="J130" s="42"/>
      <c r="K130" s="42"/>
      <c r="L130" s="42"/>
      <c r="M130" s="42"/>
      <c r="N130" s="42"/>
      <c r="O130" s="31"/>
      <c r="P130" s="31">
        <f t="shared" si="15"/>
        <v>0</v>
      </c>
      <c r="Q130" s="42"/>
      <c r="R130" s="24">
        <f aca="true" t="shared" si="16" ref="R130:R178">P130-Q130</f>
        <v>0</v>
      </c>
      <c r="S130" s="42"/>
      <c r="T130" s="42"/>
      <c r="U130" s="131"/>
      <c r="V130" s="98"/>
    </row>
    <row r="131" spans="1:22" ht="12.75">
      <c r="A131" s="40" t="s">
        <v>866</v>
      </c>
      <c r="B131" s="41">
        <v>36.1</v>
      </c>
      <c r="C131" s="42"/>
      <c r="D131" s="42"/>
      <c r="E131" s="42">
        <v>5303</v>
      </c>
      <c r="F131" s="42">
        <v>2554</v>
      </c>
      <c r="G131" s="42">
        <v>1896</v>
      </c>
      <c r="H131" s="42">
        <v>914</v>
      </c>
      <c r="I131" s="42">
        <v>2396</v>
      </c>
      <c r="J131" s="42">
        <v>7245</v>
      </c>
      <c r="K131" s="42">
        <v>9975</v>
      </c>
      <c r="L131" s="42">
        <f>5099+253</f>
        <v>5352</v>
      </c>
      <c r="M131" s="42">
        <v>570</v>
      </c>
      <c r="N131" s="42">
        <v>263</v>
      </c>
      <c r="O131" s="31">
        <v>343</v>
      </c>
      <c r="P131" s="31">
        <f t="shared" si="15"/>
        <v>374.18181818181813</v>
      </c>
      <c r="Q131" s="42">
        <v>200</v>
      </c>
      <c r="R131" s="24">
        <f t="shared" si="16"/>
        <v>174.18181818181813</v>
      </c>
      <c r="S131" s="42">
        <v>400</v>
      </c>
      <c r="T131" s="42">
        <v>400</v>
      </c>
      <c r="U131" s="131">
        <f>(S131-Q131)/Q131</f>
        <v>1</v>
      </c>
      <c r="V131" s="98"/>
    </row>
    <row r="132" spans="1:22" ht="12.75">
      <c r="A132" s="40" t="s">
        <v>68</v>
      </c>
      <c r="B132" s="41">
        <v>36.1105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>
        <v>71</v>
      </c>
      <c r="N132" s="42"/>
      <c r="O132" s="31">
        <v>74</v>
      </c>
      <c r="P132" s="31">
        <f t="shared" si="15"/>
        <v>80.72727272727272</v>
      </c>
      <c r="Q132" s="42"/>
      <c r="R132" s="24">
        <f t="shared" si="16"/>
        <v>80.72727272727272</v>
      </c>
      <c r="S132" s="42"/>
      <c r="T132" s="42"/>
      <c r="U132" s="131"/>
      <c r="V132" s="98"/>
    </row>
    <row r="133" spans="1:22" ht="12.75">
      <c r="A133" s="40" t="s">
        <v>867</v>
      </c>
      <c r="B133" s="41">
        <v>36.111</v>
      </c>
      <c r="C133" s="42">
        <v>74962</v>
      </c>
      <c r="D133" s="42">
        <v>117155</v>
      </c>
      <c r="E133" s="42">
        <v>139453</v>
      </c>
      <c r="F133" s="42">
        <v>62703</v>
      </c>
      <c r="G133" s="42">
        <v>39939</v>
      </c>
      <c r="H133" s="42">
        <v>40953</v>
      </c>
      <c r="I133" s="42">
        <v>91435</v>
      </c>
      <c r="J133" s="31">
        <f>3901.21+151024</f>
        <v>154925.21</v>
      </c>
      <c r="K133" s="31">
        <v>131952</v>
      </c>
      <c r="L133" s="31">
        <v>81636</v>
      </c>
      <c r="M133" s="31">
        <v>27523</v>
      </c>
      <c r="N133" s="31">
        <v>5904</v>
      </c>
      <c r="O133" s="43">
        <v>2016</v>
      </c>
      <c r="P133" s="31">
        <f t="shared" si="15"/>
        <v>2199.272727272727</v>
      </c>
      <c r="Q133" s="42">
        <v>5000</v>
      </c>
      <c r="R133" s="24">
        <f t="shared" si="16"/>
        <v>-2800.727272727273</v>
      </c>
      <c r="S133" s="42">
        <v>5000</v>
      </c>
      <c r="T133" s="42">
        <v>5000</v>
      </c>
      <c r="U133" s="131">
        <f>(S133-Q133)/Q133</f>
        <v>0</v>
      </c>
      <c r="V133" s="98">
        <f>(T133-Q133)/Q133</f>
        <v>0</v>
      </c>
    </row>
    <row r="134" spans="1:22" ht="12.75" hidden="1">
      <c r="A134" s="40" t="s">
        <v>701</v>
      </c>
      <c r="B134" s="41">
        <v>36.1112</v>
      </c>
      <c r="C134" s="42"/>
      <c r="D134" s="42"/>
      <c r="E134" s="42"/>
      <c r="F134" s="42"/>
      <c r="G134" s="42"/>
      <c r="H134" s="42"/>
      <c r="I134" s="42"/>
      <c r="J134" s="42">
        <v>40456</v>
      </c>
      <c r="K134" s="42"/>
      <c r="L134" s="42"/>
      <c r="M134" s="42"/>
      <c r="N134" s="42"/>
      <c r="O134" s="31"/>
      <c r="P134" s="31"/>
      <c r="Q134" s="42"/>
      <c r="R134" s="24">
        <f t="shared" si="16"/>
        <v>0</v>
      </c>
      <c r="S134" s="42"/>
      <c r="T134" s="42"/>
      <c r="U134" s="131" t="e">
        <f>(S134-Q134)/Q134</f>
        <v>#DIV/0!</v>
      </c>
      <c r="V134" s="98"/>
    </row>
    <row r="135" spans="1:23" ht="12.75">
      <c r="A135" s="40" t="s">
        <v>868</v>
      </c>
      <c r="B135" s="41">
        <v>36.112</v>
      </c>
      <c r="C135" s="42">
        <v>31067</v>
      </c>
      <c r="D135" s="42">
        <v>51768</v>
      </c>
      <c r="E135" s="42">
        <v>37533</v>
      </c>
      <c r="F135" s="42">
        <v>15750</v>
      </c>
      <c r="G135" s="42">
        <v>8521</v>
      </c>
      <c r="H135" s="42">
        <v>10389</v>
      </c>
      <c r="I135" s="42">
        <v>22963</v>
      </c>
      <c r="J135" s="31">
        <f>10193.45+55102</f>
        <v>65295.45</v>
      </c>
      <c r="K135" s="31">
        <v>60560</v>
      </c>
      <c r="L135" s="31">
        <v>12148</v>
      </c>
      <c r="M135" s="31">
        <v>0</v>
      </c>
      <c r="N135" s="31"/>
      <c r="O135" s="31">
        <v>2324</v>
      </c>
      <c r="P135" s="31">
        <f>(12/$O$2)*O135</f>
        <v>2535.272727272727</v>
      </c>
      <c r="Q135" s="42"/>
      <c r="R135" s="24">
        <f t="shared" si="16"/>
        <v>2535.272727272727</v>
      </c>
      <c r="S135" s="42"/>
      <c r="T135" s="42"/>
      <c r="U135" s="131"/>
      <c r="V135" s="98" t="e">
        <f>(T135-Q135)/Q135</f>
        <v>#DIV/0!</v>
      </c>
      <c r="W135" s="22" t="s">
        <v>93</v>
      </c>
    </row>
    <row r="136" spans="1:23" ht="12.75" hidden="1">
      <c r="A136" s="40" t="s">
        <v>132</v>
      </c>
      <c r="B136" s="41">
        <v>36.113</v>
      </c>
      <c r="C136" s="42">
        <v>15215</v>
      </c>
      <c r="D136" s="42">
        <v>22960</v>
      </c>
      <c r="E136" s="42">
        <v>17620</v>
      </c>
      <c r="F136" s="42">
        <v>6499</v>
      </c>
      <c r="G136" s="42">
        <v>2072</v>
      </c>
      <c r="H136" s="42">
        <v>1257</v>
      </c>
      <c r="I136" s="42"/>
      <c r="J136" s="42"/>
      <c r="K136" s="42"/>
      <c r="L136" s="42"/>
      <c r="M136" s="42"/>
      <c r="N136" s="42"/>
      <c r="O136" s="43"/>
      <c r="P136" s="31"/>
      <c r="Q136" s="42"/>
      <c r="R136" s="24">
        <f t="shared" si="16"/>
        <v>0</v>
      </c>
      <c r="S136" s="42"/>
      <c r="T136" s="42"/>
      <c r="U136" s="131"/>
      <c r="V136" s="98" t="e">
        <f>(T136-Q136)/Q136</f>
        <v>#DIV/0!</v>
      </c>
      <c r="W136" s="22" t="s">
        <v>93</v>
      </c>
    </row>
    <row r="137" spans="1:22" ht="12.75" hidden="1">
      <c r="A137" s="40" t="s">
        <v>133</v>
      </c>
      <c r="B137" s="41">
        <v>36.114</v>
      </c>
      <c r="C137" s="42">
        <v>54</v>
      </c>
      <c r="D137" s="42">
        <v>102</v>
      </c>
      <c r="E137" s="42">
        <v>144</v>
      </c>
      <c r="F137" s="42">
        <v>143</v>
      </c>
      <c r="G137" s="42">
        <v>14</v>
      </c>
      <c r="H137" s="42"/>
      <c r="I137" s="42"/>
      <c r="J137" s="42"/>
      <c r="K137" s="42"/>
      <c r="L137" s="42"/>
      <c r="M137" s="42">
        <v>0.25</v>
      </c>
      <c r="N137" s="42"/>
      <c r="O137" s="43"/>
      <c r="P137" s="31"/>
      <c r="Q137" s="42"/>
      <c r="R137" s="24">
        <f t="shared" si="16"/>
        <v>0</v>
      </c>
      <c r="S137" s="42"/>
      <c r="T137" s="42"/>
      <c r="U137" s="131" t="e">
        <f>(S137-Q137)/Q137</f>
        <v>#DIV/0!</v>
      </c>
      <c r="V137" s="98"/>
    </row>
    <row r="138" spans="1:22" ht="12.75" hidden="1">
      <c r="A138" s="40" t="s">
        <v>134</v>
      </c>
      <c r="B138" s="41">
        <v>37.111</v>
      </c>
      <c r="C138" s="42"/>
      <c r="D138" s="42">
        <v>4185</v>
      </c>
      <c r="E138" s="42">
        <v>3825</v>
      </c>
      <c r="F138" s="42">
        <v>3757</v>
      </c>
      <c r="G138" s="42">
        <v>3645</v>
      </c>
      <c r="H138" s="42"/>
      <c r="I138" s="42"/>
      <c r="J138" s="42"/>
      <c r="K138" s="42"/>
      <c r="L138" s="42"/>
      <c r="M138" s="42"/>
      <c r="N138" s="42"/>
      <c r="O138" s="43"/>
      <c r="P138" s="31">
        <f>(12/$O$2)*O138</f>
        <v>0</v>
      </c>
      <c r="Q138" s="42"/>
      <c r="R138" s="24">
        <f t="shared" si="16"/>
        <v>0</v>
      </c>
      <c r="S138" s="42"/>
      <c r="T138" s="42"/>
      <c r="U138" s="131" t="e">
        <f>(S138-Q138)/Q138</f>
        <v>#DIV/0!</v>
      </c>
      <c r="V138" s="98"/>
    </row>
    <row r="139" spans="1:22" ht="12.75">
      <c r="A139" s="40" t="s">
        <v>869</v>
      </c>
      <c r="B139" s="41">
        <v>37.112</v>
      </c>
      <c r="C139" s="42">
        <v>200</v>
      </c>
      <c r="D139" s="42">
        <v>1565</v>
      </c>
      <c r="E139" s="42">
        <v>215</v>
      </c>
      <c r="F139" s="42">
        <v>56</v>
      </c>
      <c r="G139" s="42">
        <v>1049</v>
      </c>
      <c r="H139" s="42">
        <v>927</v>
      </c>
      <c r="I139" s="42">
        <v>55</v>
      </c>
      <c r="J139" s="42">
        <v>989</v>
      </c>
      <c r="K139" s="42">
        <v>-1088</v>
      </c>
      <c r="L139" s="42">
        <v>367</v>
      </c>
      <c r="M139" s="42">
        <v>-386</v>
      </c>
      <c r="N139" s="42">
        <v>550</v>
      </c>
      <c r="O139" s="31">
        <v>-1100</v>
      </c>
      <c r="P139" s="31">
        <v>250</v>
      </c>
      <c r="Q139" s="42">
        <v>350</v>
      </c>
      <c r="R139" s="24">
        <f t="shared" si="16"/>
        <v>-100</v>
      </c>
      <c r="S139" s="42">
        <v>340</v>
      </c>
      <c r="T139" s="42">
        <v>340</v>
      </c>
      <c r="U139" s="131"/>
      <c r="V139" s="98">
        <f>(T139-Q139)/Q139</f>
        <v>-0.02857142857142857</v>
      </c>
    </row>
    <row r="140" spans="1:22" ht="12.75">
      <c r="A140" s="40" t="s">
        <v>870</v>
      </c>
      <c r="B140" s="41">
        <v>37.113</v>
      </c>
      <c r="C140" s="42">
        <v>1000</v>
      </c>
      <c r="D140" s="42">
        <v>5307</v>
      </c>
      <c r="E140" s="42"/>
      <c r="F140" s="42">
        <v>720</v>
      </c>
      <c r="G140" s="42">
        <v>1290</v>
      </c>
      <c r="H140" s="42"/>
      <c r="I140" s="42"/>
      <c r="J140" s="42">
        <v>502</v>
      </c>
      <c r="K140" s="42">
        <v>1050</v>
      </c>
      <c r="L140" s="42">
        <v>1702</v>
      </c>
      <c r="M140" s="42">
        <v>2578</v>
      </c>
      <c r="N140" s="42">
        <v>113</v>
      </c>
      <c r="O140" s="31">
        <v>500</v>
      </c>
      <c r="P140" s="31">
        <v>500</v>
      </c>
      <c r="Q140" s="42">
        <v>140</v>
      </c>
      <c r="R140" s="24">
        <f t="shared" si="16"/>
        <v>360</v>
      </c>
      <c r="S140" s="42">
        <v>500</v>
      </c>
      <c r="T140" s="42">
        <v>500</v>
      </c>
      <c r="U140" s="131"/>
      <c r="V140" s="98"/>
    </row>
    <row r="141" spans="1:22" ht="12.75">
      <c r="A141" s="40" t="s">
        <v>871</v>
      </c>
      <c r="B141" s="41">
        <v>37.114</v>
      </c>
      <c r="C141" s="42">
        <v>536</v>
      </c>
      <c r="E141" s="42">
        <v>948</v>
      </c>
      <c r="F141" s="42"/>
      <c r="G141" s="42"/>
      <c r="H141" s="42">
        <v>700</v>
      </c>
      <c r="I141" s="42"/>
      <c r="J141" s="42">
        <v>303</v>
      </c>
      <c r="K141" s="42">
        <v>2052</v>
      </c>
      <c r="L141" s="42">
        <v>750</v>
      </c>
      <c r="M141" s="42"/>
      <c r="N141" s="42">
        <v>525</v>
      </c>
      <c r="O141" s="31">
        <v>1191</v>
      </c>
      <c r="P141" s="31">
        <v>1200</v>
      </c>
      <c r="Q141" s="42">
        <v>525</v>
      </c>
      <c r="R141" s="24">
        <f t="shared" si="16"/>
        <v>675</v>
      </c>
      <c r="S141" s="42">
        <v>600</v>
      </c>
      <c r="T141" s="42">
        <v>600</v>
      </c>
      <c r="U141" s="131"/>
      <c r="V141" s="98"/>
    </row>
    <row r="142" spans="1:22" ht="12.75">
      <c r="A142" s="22" t="s">
        <v>67</v>
      </c>
      <c r="B142" s="41">
        <v>37.1141</v>
      </c>
      <c r="C142" s="42"/>
      <c r="E142" s="42"/>
      <c r="F142" s="42"/>
      <c r="G142" s="42"/>
      <c r="H142" s="42"/>
      <c r="I142" s="42"/>
      <c r="J142" s="42"/>
      <c r="K142" s="42"/>
      <c r="L142" s="42"/>
      <c r="M142" s="42">
        <v>400</v>
      </c>
      <c r="N142" s="42"/>
      <c r="O142" s="31"/>
      <c r="P142" s="31"/>
      <c r="Q142" s="42"/>
      <c r="R142" s="24">
        <f t="shared" si="16"/>
        <v>0</v>
      </c>
      <c r="S142" s="42"/>
      <c r="T142" s="42"/>
      <c r="U142" s="131"/>
      <c r="V142" s="98"/>
    </row>
    <row r="143" spans="1:22" ht="12.75">
      <c r="A143" s="40" t="s">
        <v>770</v>
      </c>
      <c r="B143" s="41">
        <v>38.1</v>
      </c>
      <c r="C143" s="42"/>
      <c r="E143" s="42"/>
      <c r="F143" s="42"/>
      <c r="G143" s="42"/>
      <c r="H143" s="42"/>
      <c r="I143" s="42"/>
      <c r="J143" s="42"/>
      <c r="K143" s="42">
        <v>900</v>
      </c>
      <c r="L143" s="42"/>
      <c r="M143" s="42"/>
      <c r="N143" s="42"/>
      <c r="O143" s="31"/>
      <c r="P143" s="31"/>
      <c r="Q143" s="42"/>
      <c r="R143" s="24">
        <f t="shared" si="16"/>
        <v>0</v>
      </c>
      <c r="S143" s="42"/>
      <c r="T143" s="42"/>
      <c r="U143" s="131"/>
      <c r="V143" s="98"/>
    </row>
    <row r="144" spans="1:22" ht="12.75" hidden="1">
      <c r="A144" s="40" t="s">
        <v>135</v>
      </c>
      <c r="B144" s="41">
        <v>38.2</v>
      </c>
      <c r="C144" s="42">
        <v>5816</v>
      </c>
      <c r="D144" s="42">
        <v>13322</v>
      </c>
      <c r="E144" s="42">
        <v>5149</v>
      </c>
      <c r="F144" s="42">
        <v>18471</v>
      </c>
      <c r="G144" s="42">
        <v>3718</v>
      </c>
      <c r="H144" s="42">
        <v>617</v>
      </c>
      <c r="I144" s="42"/>
      <c r="J144" s="42"/>
      <c r="K144" s="42"/>
      <c r="L144" s="42"/>
      <c r="M144" s="42"/>
      <c r="N144" s="42"/>
      <c r="O144" s="43"/>
      <c r="P144" s="31"/>
      <c r="Q144" s="42"/>
      <c r="R144" s="24">
        <f t="shared" si="16"/>
        <v>0</v>
      </c>
      <c r="S144" s="42"/>
      <c r="T144" s="42"/>
      <c r="U144" s="131"/>
      <c r="V144" s="98"/>
    </row>
    <row r="145" spans="1:22" ht="12.75">
      <c r="A145" s="40" t="s">
        <v>872</v>
      </c>
      <c r="B145" s="41">
        <v>38.3</v>
      </c>
      <c r="C145" s="42"/>
      <c r="D145" s="42">
        <v>20188</v>
      </c>
      <c r="E145" s="42">
        <v>6483</v>
      </c>
      <c r="F145" s="42">
        <v>1755</v>
      </c>
      <c r="G145" s="42">
        <v>13638</v>
      </c>
      <c r="H145" s="42">
        <v>3869</v>
      </c>
      <c r="I145" s="42"/>
      <c r="J145" s="42">
        <v>14097</v>
      </c>
      <c r="K145" s="42">
        <v>1800</v>
      </c>
      <c r="L145" s="42">
        <v>42616</v>
      </c>
      <c r="M145" s="42">
        <v>0</v>
      </c>
      <c r="N145" s="42"/>
      <c r="O145" s="31"/>
      <c r="P145" s="31"/>
      <c r="Q145" s="42"/>
      <c r="R145" s="24">
        <f t="shared" si="16"/>
        <v>0</v>
      </c>
      <c r="S145" s="42"/>
      <c r="T145" s="42"/>
      <c r="U145" s="131"/>
      <c r="V145" s="98"/>
    </row>
    <row r="146" spans="1:22" ht="12.75" hidden="1">
      <c r="A146" s="40" t="s">
        <v>611</v>
      </c>
      <c r="B146" s="41">
        <v>38.3002</v>
      </c>
      <c r="C146" s="42"/>
      <c r="D146" s="42"/>
      <c r="E146" s="42"/>
      <c r="F146" s="42"/>
      <c r="G146" s="42"/>
      <c r="H146" s="42"/>
      <c r="I146" s="42">
        <v>108482</v>
      </c>
      <c r="J146" s="42"/>
      <c r="K146" s="42"/>
      <c r="L146" s="42"/>
      <c r="M146" s="42"/>
      <c r="N146" s="42"/>
      <c r="O146" s="24"/>
      <c r="P146" s="31"/>
      <c r="Q146" s="42"/>
      <c r="R146" s="24">
        <f t="shared" si="16"/>
        <v>0</v>
      </c>
      <c r="S146" s="42"/>
      <c r="T146" s="42"/>
      <c r="U146" s="131"/>
      <c r="V146" s="98"/>
    </row>
    <row r="147" spans="1:22" ht="12.75">
      <c r="A147" s="40" t="s">
        <v>873</v>
      </c>
      <c r="B147" s="41">
        <v>38.9</v>
      </c>
      <c r="C147" s="42">
        <v>1709</v>
      </c>
      <c r="D147" s="42">
        <v>4622</v>
      </c>
      <c r="E147" s="42">
        <v>6975</v>
      </c>
      <c r="F147" s="42">
        <v>1462</v>
      </c>
      <c r="G147" s="42">
        <v>3581</v>
      </c>
      <c r="H147" s="42">
        <v>1433</v>
      </c>
      <c r="I147" s="42">
        <v>7407</v>
      </c>
      <c r="J147" s="42">
        <v>8265</v>
      </c>
      <c r="K147" s="42">
        <v>13989</v>
      </c>
      <c r="L147" s="42">
        <v>27108</v>
      </c>
      <c r="M147" s="42">
        <v>16038</v>
      </c>
      <c r="N147" s="42">
        <v>24841</v>
      </c>
      <c r="O147" s="31">
        <v>4505</v>
      </c>
      <c r="P147" s="31">
        <f>(12/$O$2)*O147</f>
        <v>4914.545454545454</v>
      </c>
      <c r="Q147" s="42">
        <v>20000</v>
      </c>
      <c r="R147" s="24">
        <f t="shared" si="16"/>
        <v>-15085.454545454546</v>
      </c>
      <c r="S147" s="42">
        <v>2000</v>
      </c>
      <c r="T147" s="42">
        <v>2555</v>
      </c>
      <c r="U147" s="131">
        <f>(S147-Q147)/Q147</f>
        <v>-0.9</v>
      </c>
      <c r="V147" s="98">
        <f>(T147-Q147)/Q147</f>
        <v>-0.87225</v>
      </c>
    </row>
    <row r="148" spans="1:22" ht="12.75">
      <c r="A148" s="40" t="s">
        <v>874</v>
      </c>
      <c r="B148" s="41">
        <v>38.902</v>
      </c>
      <c r="C148" s="42">
        <v>14069</v>
      </c>
      <c r="D148" s="42">
        <v>12162</v>
      </c>
      <c r="E148" s="42">
        <v>12311</v>
      </c>
      <c r="F148" s="42">
        <v>8779</v>
      </c>
      <c r="G148" s="42">
        <v>8470</v>
      </c>
      <c r="H148" s="42">
        <v>9532</v>
      </c>
      <c r="I148" s="42">
        <v>9293</v>
      </c>
      <c r="J148" s="42">
        <v>7687</v>
      </c>
      <c r="K148" s="42">
        <v>9064</v>
      </c>
      <c r="L148" s="42">
        <v>8803</v>
      </c>
      <c r="M148" s="42">
        <v>11854</v>
      </c>
      <c r="N148" s="42">
        <v>1066</v>
      </c>
      <c r="O148" s="31">
        <v>298</v>
      </c>
      <c r="P148" s="31">
        <f>(12/$O$2)*O148</f>
        <v>325.09090909090907</v>
      </c>
      <c r="Q148" s="42">
        <v>1200</v>
      </c>
      <c r="R148" s="24">
        <f t="shared" si="16"/>
        <v>-874.909090909091</v>
      </c>
      <c r="S148" s="42">
        <v>500</v>
      </c>
      <c r="T148" s="42">
        <v>500</v>
      </c>
      <c r="U148" s="131"/>
      <c r="V148" s="98">
        <f>(T148-Q148)/Q148</f>
        <v>-0.5833333333333334</v>
      </c>
    </row>
    <row r="149" spans="1:22" ht="12.75">
      <c r="A149" s="40" t="s">
        <v>1003</v>
      </c>
      <c r="B149" s="41">
        <v>38.9021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31">
        <v>1497</v>
      </c>
      <c r="P149" s="31">
        <v>1500</v>
      </c>
      <c r="Q149" s="42">
        <v>1000</v>
      </c>
      <c r="R149" s="24"/>
      <c r="S149" s="42">
        <v>1000</v>
      </c>
      <c r="T149" s="42">
        <v>1000</v>
      </c>
      <c r="U149" s="131"/>
      <c r="V149" s="98"/>
    </row>
    <row r="150" spans="1:22" ht="12.75">
      <c r="A150" s="40" t="s">
        <v>601</v>
      </c>
      <c r="B150" s="41">
        <v>38.9022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>
        <v>1305</v>
      </c>
      <c r="O150" s="31">
        <v>1530</v>
      </c>
      <c r="P150" s="31">
        <v>1200</v>
      </c>
      <c r="Q150" s="42">
        <v>1200</v>
      </c>
      <c r="R150" s="24">
        <f t="shared" si="16"/>
        <v>0</v>
      </c>
      <c r="S150" s="42">
        <v>1200</v>
      </c>
      <c r="T150" s="42">
        <v>1200</v>
      </c>
      <c r="U150" s="131"/>
      <c r="V150" s="98"/>
    </row>
    <row r="151" spans="1:23" ht="12.75">
      <c r="A151" s="40" t="s">
        <v>418</v>
      </c>
      <c r="B151" s="41">
        <v>38.903</v>
      </c>
      <c r="C151" s="42"/>
      <c r="D151" s="42"/>
      <c r="E151" s="42"/>
      <c r="F151" s="42">
        <v>1200</v>
      </c>
      <c r="G151" s="42">
        <v>68481</v>
      </c>
      <c r="H151" s="42">
        <f>29333+5333</f>
        <v>34666</v>
      </c>
      <c r="I151" s="42">
        <f>32891+2883</f>
        <v>35774</v>
      </c>
      <c r="J151" s="42">
        <f>32891+2883</f>
        <v>35774</v>
      </c>
      <c r="K151" s="42">
        <v>39728</v>
      </c>
      <c r="L151" s="42">
        <f>32321+3591</f>
        <v>35912</v>
      </c>
      <c r="M151" s="42">
        <v>30941</v>
      </c>
      <c r="N151" s="42"/>
      <c r="O151" s="31"/>
      <c r="P151" s="31"/>
      <c r="Q151" s="42"/>
      <c r="R151" s="24">
        <f t="shared" si="16"/>
        <v>0</v>
      </c>
      <c r="S151" s="42"/>
      <c r="T151" s="42"/>
      <c r="U151" s="131"/>
      <c r="V151" s="98" t="e">
        <f>(T151-Q151)/Q151</f>
        <v>#DIV/0!</v>
      </c>
      <c r="W151" s="22" t="s">
        <v>924</v>
      </c>
    </row>
    <row r="152" spans="1:22" ht="12.75" hidden="1">
      <c r="A152" s="40" t="s">
        <v>591</v>
      </c>
      <c r="B152" s="41">
        <v>38.904</v>
      </c>
      <c r="C152" s="42">
        <v>981</v>
      </c>
      <c r="D152" s="42">
        <v>1615</v>
      </c>
      <c r="E152" s="42">
        <v>1254</v>
      </c>
      <c r="F152" s="42">
        <v>1157</v>
      </c>
      <c r="G152" s="42"/>
      <c r="H152" s="42"/>
      <c r="I152" s="42"/>
      <c r="J152" s="42"/>
      <c r="K152" s="42"/>
      <c r="L152" s="42"/>
      <c r="M152" s="42"/>
      <c r="N152" s="42"/>
      <c r="O152" s="43"/>
      <c r="P152" s="31"/>
      <c r="Q152" s="42"/>
      <c r="R152" s="24">
        <f t="shared" si="16"/>
        <v>0</v>
      </c>
      <c r="S152" s="42"/>
      <c r="T152" s="42"/>
      <c r="U152" s="131"/>
      <c r="V152" s="98"/>
    </row>
    <row r="153" spans="1:22" ht="12.75" hidden="1">
      <c r="A153" s="40" t="s">
        <v>139</v>
      </c>
      <c r="B153" s="41">
        <v>38.905</v>
      </c>
      <c r="C153" s="42"/>
      <c r="D153" s="42"/>
      <c r="E153" s="42">
        <v>448</v>
      </c>
      <c r="F153" s="42">
        <v>777</v>
      </c>
      <c r="G153" s="42">
        <v>1291</v>
      </c>
      <c r="H153" s="42">
        <v>228</v>
      </c>
      <c r="I153" s="42"/>
      <c r="J153" s="42"/>
      <c r="K153" s="42"/>
      <c r="L153" s="42"/>
      <c r="M153" s="42"/>
      <c r="N153" s="42"/>
      <c r="O153" s="43"/>
      <c r="P153" s="31"/>
      <c r="Q153" s="42"/>
      <c r="R153" s="24">
        <f t="shared" si="16"/>
        <v>0</v>
      </c>
      <c r="S153" s="42"/>
      <c r="T153" s="42"/>
      <c r="U153" s="131"/>
      <c r="V153" s="98"/>
    </row>
    <row r="154" spans="1:23" ht="12.75">
      <c r="A154" s="40" t="s">
        <v>875</v>
      </c>
      <c r="B154" s="41">
        <v>38.9051</v>
      </c>
      <c r="C154" s="42"/>
      <c r="D154" s="42"/>
      <c r="E154" s="42">
        <v>51000</v>
      </c>
      <c r="F154" s="42">
        <v>51000</v>
      </c>
      <c r="G154" s="42">
        <v>51000</v>
      </c>
      <c r="H154" s="42">
        <v>51000</v>
      </c>
      <c r="I154" s="42">
        <f>38250+12500</f>
        <v>50750</v>
      </c>
      <c r="J154" s="42">
        <v>52060</v>
      </c>
      <c r="K154" s="42">
        <v>52169</v>
      </c>
      <c r="L154" s="42">
        <v>38250</v>
      </c>
      <c r="M154" s="42">
        <v>12750</v>
      </c>
      <c r="N154" s="42"/>
      <c r="O154" s="31"/>
      <c r="P154" s="31"/>
      <c r="Q154" s="42"/>
      <c r="R154" s="24">
        <f t="shared" si="16"/>
        <v>0</v>
      </c>
      <c r="S154" s="42"/>
      <c r="T154" s="42"/>
      <c r="U154" s="131"/>
      <c r="V154" s="98" t="e">
        <f>(T154-Q154)/Q154</f>
        <v>#DIV/0!</v>
      </c>
      <c r="W154" s="22" t="s">
        <v>91</v>
      </c>
    </row>
    <row r="155" spans="1:22" ht="12.75" hidden="1">
      <c r="A155" s="40" t="s">
        <v>137</v>
      </c>
      <c r="B155" s="41">
        <v>38.9052</v>
      </c>
      <c r="C155" s="42">
        <v>2385</v>
      </c>
      <c r="D155" s="42">
        <v>3763</v>
      </c>
      <c r="E155" s="42">
        <v>2968</v>
      </c>
      <c r="F155" s="42">
        <v>1597</v>
      </c>
      <c r="G155" s="42">
        <v>3059</v>
      </c>
      <c r="H155" s="42">
        <v>939</v>
      </c>
      <c r="I155" s="42"/>
      <c r="J155" s="42"/>
      <c r="K155" s="42"/>
      <c r="L155" s="42"/>
      <c r="M155" s="42"/>
      <c r="N155" s="42"/>
      <c r="O155" s="43"/>
      <c r="P155" s="31"/>
      <c r="Q155" s="42"/>
      <c r="R155" s="24">
        <f t="shared" si="16"/>
        <v>0</v>
      </c>
      <c r="S155" s="42"/>
      <c r="T155" s="42"/>
      <c r="U155" s="131" t="e">
        <f>(S155-Q155)/Q155</f>
        <v>#DIV/0!</v>
      </c>
      <c r="V155" s="98"/>
    </row>
    <row r="156" spans="1:22" ht="12.75">
      <c r="A156" s="40" t="s">
        <v>876</v>
      </c>
      <c r="B156" s="41">
        <v>38.9053</v>
      </c>
      <c r="C156" s="42">
        <v>4689</v>
      </c>
      <c r="D156" s="42">
        <v>7748</v>
      </c>
      <c r="E156" s="42">
        <v>8309</v>
      </c>
      <c r="F156" s="42">
        <v>7400</v>
      </c>
      <c r="G156" s="42">
        <v>9971</v>
      </c>
      <c r="H156" s="42">
        <f>11582+1358+1325</f>
        <v>14265</v>
      </c>
      <c r="I156" s="42">
        <f>18744+1887</f>
        <v>20631</v>
      </c>
      <c r="J156" s="42">
        <v>29877</v>
      </c>
      <c r="K156" s="42">
        <v>28326</v>
      </c>
      <c r="L156" s="42">
        <v>33785</v>
      </c>
      <c r="M156" s="42">
        <v>21679</v>
      </c>
      <c r="N156" s="42">
        <v>25535</v>
      </c>
      <c r="O156" s="31">
        <v>23677</v>
      </c>
      <c r="P156" s="31">
        <f>(12/$O$2)*O156</f>
        <v>25829.454545454544</v>
      </c>
      <c r="Q156" s="42">
        <v>23000</v>
      </c>
      <c r="R156" s="24">
        <f t="shared" si="16"/>
        <v>2829.454545454544</v>
      </c>
      <c r="S156" s="42">
        <v>23000</v>
      </c>
      <c r="T156" s="42">
        <v>25000</v>
      </c>
      <c r="U156" s="131">
        <f>(S156-Q156)/Q156</f>
        <v>0</v>
      </c>
      <c r="V156" s="98">
        <f>(T156-Q156)/Q156</f>
        <v>0.08695652173913043</v>
      </c>
    </row>
    <row r="157" spans="1:22" ht="12.75" hidden="1">
      <c r="A157" s="40" t="s">
        <v>332</v>
      </c>
      <c r="B157" s="41">
        <v>38.9054</v>
      </c>
      <c r="C157" s="42">
        <v>50</v>
      </c>
      <c r="D157" s="42">
        <v>137</v>
      </c>
      <c r="E157" s="42">
        <v>132</v>
      </c>
      <c r="F157" s="42">
        <v>200</v>
      </c>
      <c r="G157" s="42">
        <v>63</v>
      </c>
      <c r="H157" s="42"/>
      <c r="I157" s="42"/>
      <c r="J157" s="42"/>
      <c r="K157" s="42"/>
      <c r="L157" s="42"/>
      <c r="M157" s="42"/>
      <c r="N157" s="42"/>
      <c r="O157" s="43"/>
      <c r="P157" s="31"/>
      <c r="Q157" s="42"/>
      <c r="R157" s="24">
        <f t="shared" si="16"/>
        <v>0</v>
      </c>
      <c r="S157" s="42"/>
      <c r="T157" s="42"/>
      <c r="U157" s="131" t="e">
        <f>(S157-Q157)/Q157</f>
        <v>#DIV/0!</v>
      </c>
      <c r="V157" s="98"/>
    </row>
    <row r="158" spans="1:22" ht="12.75">
      <c r="A158" s="40" t="s">
        <v>797</v>
      </c>
      <c r="B158" s="41">
        <v>38.9045</v>
      </c>
      <c r="C158" s="42"/>
      <c r="D158" s="42"/>
      <c r="E158" s="42"/>
      <c r="F158" s="42"/>
      <c r="G158" s="42"/>
      <c r="H158" s="42"/>
      <c r="I158" s="42"/>
      <c r="J158" s="42"/>
      <c r="K158" s="42">
        <v>3300</v>
      </c>
      <c r="L158" s="42">
        <v>3000</v>
      </c>
      <c r="M158" s="42"/>
      <c r="N158" s="42"/>
      <c r="O158" s="43"/>
      <c r="P158" s="31"/>
      <c r="Q158" s="42"/>
      <c r="R158" s="24">
        <f t="shared" si="16"/>
        <v>0</v>
      </c>
      <c r="S158" s="42"/>
      <c r="T158" s="42"/>
      <c r="U158" s="131" t="e">
        <f>(S158-Q158)/Q158</f>
        <v>#DIV/0!</v>
      </c>
      <c r="V158" s="98"/>
    </row>
    <row r="159" spans="1:22" ht="12.75">
      <c r="A159" s="22" t="s">
        <v>80</v>
      </c>
      <c r="B159" s="158">
        <v>38.9051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>
        <v>402</v>
      </c>
      <c r="M159" s="42"/>
      <c r="N159" s="42"/>
      <c r="O159" s="43"/>
      <c r="P159" s="31"/>
      <c r="Q159" s="42"/>
      <c r="R159" s="24">
        <f t="shared" si="16"/>
        <v>0</v>
      </c>
      <c r="S159" s="42"/>
      <c r="T159" s="42"/>
      <c r="U159" s="131"/>
      <c r="V159" s="98"/>
    </row>
    <row r="160" spans="1:22" ht="12.75">
      <c r="A160" s="40" t="s">
        <v>889</v>
      </c>
      <c r="B160" s="41">
        <v>38.9055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>
        <v>5786</v>
      </c>
      <c r="M160" s="42">
        <v>4327</v>
      </c>
      <c r="N160" s="42">
        <v>5662</v>
      </c>
      <c r="O160" s="43">
        <v>5862</v>
      </c>
      <c r="P160" s="31">
        <v>5600</v>
      </c>
      <c r="Q160" s="42">
        <v>4300</v>
      </c>
      <c r="R160" s="24">
        <f t="shared" si="16"/>
        <v>1300</v>
      </c>
      <c r="S160" s="42">
        <v>5600</v>
      </c>
      <c r="T160" s="42">
        <v>5600</v>
      </c>
      <c r="U160" s="131">
        <f>(S160-Q160)/Q160</f>
        <v>0.3023255813953488</v>
      </c>
      <c r="V160" s="98"/>
    </row>
    <row r="161" spans="1:23" ht="12.75">
      <c r="A161" s="40" t="s">
        <v>877</v>
      </c>
      <c r="B161" s="41">
        <v>38.9056</v>
      </c>
      <c r="C161" s="42">
        <v>703</v>
      </c>
      <c r="D161" s="42">
        <v>325</v>
      </c>
      <c r="E161" s="42">
        <v>350</v>
      </c>
      <c r="F161" s="42">
        <v>199</v>
      </c>
      <c r="G161" s="42">
        <v>440</v>
      </c>
      <c r="H161" s="42">
        <f>175+171</f>
        <v>346</v>
      </c>
      <c r="I161" s="42">
        <v>214</v>
      </c>
      <c r="J161" s="42">
        <v>371</v>
      </c>
      <c r="K161" s="42">
        <v>868</v>
      </c>
      <c r="L161" s="42"/>
      <c r="M161" s="42"/>
      <c r="N161" s="42"/>
      <c r="O161" s="43"/>
      <c r="P161" s="31"/>
      <c r="Q161" s="42"/>
      <c r="R161" s="24">
        <f t="shared" si="16"/>
        <v>0</v>
      </c>
      <c r="S161" s="42"/>
      <c r="T161" s="42"/>
      <c r="U161" s="131"/>
      <c r="V161" s="98" t="e">
        <f>(T161-Q161)/Q161</f>
        <v>#DIV/0!</v>
      </c>
      <c r="W161" s="22" t="s">
        <v>55</v>
      </c>
    </row>
    <row r="162" spans="1:22" ht="12.75">
      <c r="A162" s="40" t="s">
        <v>878</v>
      </c>
      <c r="B162" s="41">
        <v>38.9057</v>
      </c>
      <c r="C162" s="42">
        <v>282</v>
      </c>
      <c r="D162" s="42">
        <v>325</v>
      </c>
      <c r="E162" s="42">
        <v>163</v>
      </c>
      <c r="F162" s="42">
        <v>199</v>
      </c>
      <c r="G162" s="42">
        <v>440</v>
      </c>
      <c r="H162" s="42">
        <v>133</v>
      </c>
      <c r="I162" s="42">
        <v>214</v>
      </c>
      <c r="J162" s="42">
        <v>520</v>
      </c>
      <c r="K162" s="42">
        <v>442</v>
      </c>
      <c r="L162" s="42">
        <v>615</v>
      </c>
      <c r="M162" s="42">
        <v>519</v>
      </c>
      <c r="N162" s="42">
        <v>602</v>
      </c>
      <c r="O162" s="31">
        <v>128</v>
      </c>
      <c r="P162" s="31">
        <v>250</v>
      </c>
      <c r="Q162" s="42">
        <v>242</v>
      </c>
      <c r="R162" s="24">
        <f t="shared" si="16"/>
        <v>8</v>
      </c>
      <c r="S162" s="42">
        <v>250</v>
      </c>
      <c r="T162" s="42">
        <v>250</v>
      </c>
      <c r="U162" s="131">
        <f>(S162-Q162)/Q162</f>
        <v>0.03305785123966942</v>
      </c>
      <c r="V162" s="98">
        <f>(T162-Q162)/Q162</f>
        <v>0.03305785123966942</v>
      </c>
    </row>
    <row r="163" spans="1:22" ht="12.75">
      <c r="A163" s="40" t="s">
        <v>879</v>
      </c>
      <c r="B163" s="41">
        <v>38.9058</v>
      </c>
      <c r="C163" s="42">
        <v>1026</v>
      </c>
      <c r="D163" s="42">
        <v>1007</v>
      </c>
      <c r="E163" s="42">
        <v>1585</v>
      </c>
      <c r="F163" s="42">
        <v>685</v>
      </c>
      <c r="G163" s="42">
        <v>1840</v>
      </c>
      <c r="H163" s="42">
        <v>716</v>
      </c>
      <c r="I163" s="42">
        <v>965</v>
      </c>
      <c r="J163" s="42">
        <v>851</v>
      </c>
      <c r="K163" s="42">
        <v>2246</v>
      </c>
      <c r="L163" s="42">
        <v>922</v>
      </c>
      <c r="M163" s="42">
        <v>1181</v>
      </c>
      <c r="N163" s="42">
        <v>1071</v>
      </c>
      <c r="O163" s="43">
        <v>403</v>
      </c>
      <c r="P163" s="31">
        <v>600</v>
      </c>
      <c r="Q163" s="42">
        <v>600</v>
      </c>
      <c r="R163" s="24">
        <f t="shared" si="16"/>
        <v>0</v>
      </c>
      <c r="S163" s="42">
        <v>600</v>
      </c>
      <c r="T163" s="42">
        <v>600</v>
      </c>
      <c r="U163" s="131">
        <f>(S163-Q163)/Q163</f>
        <v>0</v>
      </c>
      <c r="V163" s="98">
        <f>(T163-Q163)/Q163</f>
        <v>0</v>
      </c>
    </row>
    <row r="164" spans="1:22" ht="12.75">
      <c r="A164" s="40" t="s">
        <v>880</v>
      </c>
      <c r="B164" s="41">
        <v>38.9059</v>
      </c>
      <c r="C164" s="42">
        <v>576</v>
      </c>
      <c r="D164" s="42">
        <v>565</v>
      </c>
      <c r="E164" s="42">
        <v>891</v>
      </c>
      <c r="F164" s="42">
        <v>385</v>
      </c>
      <c r="G164" s="42">
        <v>1034</v>
      </c>
      <c r="H164" s="42">
        <v>402</v>
      </c>
      <c r="I164" s="42">
        <v>542</v>
      </c>
      <c r="J164" s="42">
        <v>1121</v>
      </c>
      <c r="K164" s="42">
        <v>1427</v>
      </c>
      <c r="L164" s="42">
        <v>516</v>
      </c>
      <c r="M164" s="42">
        <v>1006</v>
      </c>
      <c r="N164" s="42">
        <v>596</v>
      </c>
      <c r="O164" s="22">
        <v>225</v>
      </c>
      <c r="P164" s="31">
        <v>350</v>
      </c>
      <c r="Q164" s="42">
        <v>350</v>
      </c>
      <c r="R164" s="24">
        <f t="shared" si="16"/>
        <v>0</v>
      </c>
      <c r="S164" s="42">
        <v>350</v>
      </c>
      <c r="T164" s="42">
        <v>350</v>
      </c>
      <c r="U164" s="131">
        <f>(S164-Q164)/Q164</f>
        <v>0</v>
      </c>
      <c r="V164" s="98">
        <f>(T164-Q164)/Q164</f>
        <v>0</v>
      </c>
    </row>
    <row r="165" spans="1:22" ht="12.75" hidden="1">
      <c r="A165" s="40" t="s">
        <v>668</v>
      </c>
      <c r="B165" s="41">
        <v>38.906</v>
      </c>
      <c r="C165" s="42">
        <v>669</v>
      </c>
      <c r="D165" s="42">
        <v>485</v>
      </c>
      <c r="E165" s="42">
        <v>187</v>
      </c>
      <c r="F165" s="42">
        <v>42</v>
      </c>
      <c r="G165" s="42">
        <v>46</v>
      </c>
      <c r="H165" s="42"/>
      <c r="I165" s="42"/>
      <c r="J165" s="42"/>
      <c r="K165" s="42"/>
      <c r="L165" s="42"/>
      <c r="M165" s="42"/>
      <c r="N165" s="42"/>
      <c r="O165" s="43"/>
      <c r="P165" s="31"/>
      <c r="Q165" s="42"/>
      <c r="R165" s="24">
        <f t="shared" si="16"/>
        <v>0</v>
      </c>
      <c r="S165" s="42"/>
      <c r="T165" s="42"/>
      <c r="U165" s="131" t="e">
        <f>(S165-Q165)/Q165</f>
        <v>#DIV/0!</v>
      </c>
      <c r="V165" s="98"/>
    </row>
    <row r="166" spans="1:23" ht="12.75">
      <c r="A166" s="40" t="s">
        <v>937</v>
      </c>
      <c r="B166" s="41">
        <v>38.9061</v>
      </c>
      <c r="C166" s="42"/>
      <c r="D166" s="42"/>
      <c r="E166" s="42"/>
      <c r="F166" s="42"/>
      <c r="G166" s="42"/>
      <c r="H166" s="42"/>
      <c r="I166" s="42"/>
      <c r="J166" s="42"/>
      <c r="K166" s="42">
        <v>20187</v>
      </c>
      <c r="L166" s="42">
        <v>36275</v>
      </c>
      <c r="M166" s="42">
        <v>19523</v>
      </c>
      <c r="N166" s="42">
        <v>59033</v>
      </c>
      <c r="O166" s="43">
        <v>16377</v>
      </c>
      <c r="P166" s="31">
        <v>16377</v>
      </c>
      <c r="Q166" s="54"/>
      <c r="R166" s="24">
        <f t="shared" si="16"/>
        <v>16377</v>
      </c>
      <c r="S166" s="54"/>
      <c r="T166" s="42"/>
      <c r="U166" s="131" t="e">
        <f>(S166-Q166)/Q166</f>
        <v>#DIV/0!</v>
      </c>
      <c r="V166" s="98"/>
      <c r="W166" s="45" t="s">
        <v>992</v>
      </c>
    </row>
    <row r="167" spans="1:22" ht="12.75">
      <c r="A167" s="40" t="s">
        <v>890</v>
      </c>
      <c r="B167" s="41">
        <v>38.9062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>
        <v>8656</v>
      </c>
      <c r="M167" s="42"/>
      <c r="N167" s="42"/>
      <c r="O167" s="43"/>
      <c r="P167" s="31"/>
      <c r="Q167" s="42"/>
      <c r="R167" s="24">
        <f t="shared" si="16"/>
        <v>0</v>
      </c>
      <c r="S167" s="42"/>
      <c r="T167" s="42"/>
      <c r="U167" s="131"/>
      <c r="V167" s="98"/>
    </row>
    <row r="168" spans="1:23" ht="12.75">
      <c r="A168" s="44" t="s">
        <v>569</v>
      </c>
      <c r="B168" s="41">
        <v>38.908</v>
      </c>
      <c r="C168" s="42"/>
      <c r="D168" s="42"/>
      <c r="E168" s="42"/>
      <c r="F168" s="42"/>
      <c r="G168" s="42"/>
      <c r="H168" s="42">
        <v>9778</v>
      </c>
      <c r="I168" s="42">
        <f>4238+353</f>
        <v>4591</v>
      </c>
      <c r="J168" s="42">
        <v>4238</v>
      </c>
      <c r="K168" s="42">
        <v>5064</v>
      </c>
      <c r="L168" s="42">
        <f>5577+402</f>
        <v>5979</v>
      </c>
      <c r="M168" s="42">
        <v>2592</v>
      </c>
      <c r="N168" s="42"/>
      <c r="O168" s="31"/>
      <c r="P168" s="31"/>
      <c r="Q168" s="42"/>
      <c r="R168" s="24">
        <f t="shared" si="16"/>
        <v>0</v>
      </c>
      <c r="S168" s="42"/>
      <c r="T168" s="42"/>
      <c r="U168" s="131"/>
      <c r="V168" s="98"/>
      <c r="W168" s="22" t="s">
        <v>91</v>
      </c>
    </row>
    <row r="169" spans="1:22" ht="12.75" hidden="1">
      <c r="A169" s="44" t="s">
        <v>702</v>
      </c>
      <c r="B169" s="41">
        <v>38.9091</v>
      </c>
      <c r="C169" s="42"/>
      <c r="D169" s="42"/>
      <c r="E169" s="42"/>
      <c r="F169" s="42"/>
      <c r="G169" s="42"/>
      <c r="H169" s="42"/>
      <c r="I169" s="42"/>
      <c r="J169" s="42">
        <v>117699</v>
      </c>
      <c r="K169" s="42"/>
      <c r="L169" s="42"/>
      <c r="M169" s="42"/>
      <c r="N169" s="42"/>
      <c r="O169" s="31"/>
      <c r="P169" s="31"/>
      <c r="Q169" s="42"/>
      <c r="R169" s="24">
        <f t="shared" si="16"/>
        <v>0</v>
      </c>
      <c r="S169" s="42"/>
      <c r="T169" s="42"/>
      <c r="U169" s="131"/>
      <c r="V169" s="98"/>
    </row>
    <row r="170" spans="1:22" ht="12.75">
      <c r="A170" s="44" t="s">
        <v>703</v>
      </c>
      <c r="B170" s="41">
        <v>38.9092</v>
      </c>
      <c r="C170" s="42"/>
      <c r="D170" s="42"/>
      <c r="E170" s="42"/>
      <c r="F170" s="42"/>
      <c r="G170" s="42"/>
      <c r="H170" s="42"/>
      <c r="I170" s="42"/>
      <c r="J170" s="42">
        <v>77872</v>
      </c>
      <c r="K170" s="42">
        <v>20487</v>
      </c>
      <c r="L170" s="42"/>
      <c r="M170" s="42"/>
      <c r="N170" s="42"/>
      <c r="O170" s="31"/>
      <c r="P170" s="31"/>
      <c r="Q170" s="42"/>
      <c r="R170" s="24">
        <f t="shared" si="16"/>
        <v>0</v>
      </c>
      <c r="S170" s="42"/>
      <c r="T170" s="42"/>
      <c r="U170" s="131"/>
      <c r="V170" s="98"/>
    </row>
    <row r="171" spans="1:22" ht="12.75">
      <c r="A171" s="44" t="s">
        <v>891</v>
      </c>
      <c r="B171" s="41">
        <v>38.9093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>
        <v>95201</v>
      </c>
      <c r="M171" s="42">
        <v>88872</v>
      </c>
      <c r="N171" s="42"/>
      <c r="O171" s="31"/>
      <c r="P171" s="31"/>
      <c r="Q171" s="42"/>
      <c r="R171" s="24">
        <f t="shared" si="16"/>
        <v>0</v>
      </c>
      <c r="S171" s="42"/>
      <c r="T171" s="42"/>
      <c r="U171" s="131"/>
      <c r="V171" s="98"/>
    </row>
    <row r="172" spans="1:22" ht="12.75">
      <c r="A172" s="44" t="s">
        <v>520</v>
      </c>
      <c r="B172" s="41">
        <v>39.12</v>
      </c>
      <c r="C172" s="42"/>
      <c r="D172" s="42"/>
      <c r="E172" s="42"/>
      <c r="F172" s="42">
        <v>-5760</v>
      </c>
      <c r="G172" s="42"/>
      <c r="H172" s="42"/>
      <c r="I172" s="42"/>
      <c r="J172" s="42">
        <v>17</v>
      </c>
      <c r="K172" s="42">
        <v>300</v>
      </c>
      <c r="L172" s="42"/>
      <c r="M172" s="42">
        <v>128</v>
      </c>
      <c r="N172" s="42"/>
      <c r="P172" s="31"/>
      <c r="Q172" s="42"/>
      <c r="R172" s="24">
        <f t="shared" si="16"/>
        <v>0</v>
      </c>
      <c r="S172" s="42"/>
      <c r="T172" s="42"/>
      <c r="U172" s="131"/>
      <c r="V172" s="98"/>
    </row>
    <row r="173" spans="1:22" ht="11.25" customHeight="1">
      <c r="A173" s="40" t="s">
        <v>554</v>
      </c>
      <c r="B173" s="41">
        <v>39.21</v>
      </c>
      <c r="C173" s="42"/>
      <c r="D173" s="42"/>
      <c r="E173" s="42"/>
      <c r="F173" s="42"/>
      <c r="G173" s="42">
        <v>14289</v>
      </c>
      <c r="H173" s="42">
        <v>2775</v>
      </c>
      <c r="I173" s="42"/>
      <c r="J173" s="42"/>
      <c r="K173" s="42">
        <v>1000</v>
      </c>
      <c r="L173" s="42"/>
      <c r="M173" s="42"/>
      <c r="N173" s="42"/>
      <c r="O173" s="42"/>
      <c r="P173" s="31"/>
      <c r="Q173" s="42"/>
      <c r="R173" s="24">
        <f t="shared" si="16"/>
        <v>0</v>
      </c>
      <c r="S173" s="42"/>
      <c r="T173" s="42"/>
      <c r="U173" s="131"/>
      <c r="V173" s="98"/>
    </row>
    <row r="174" spans="1:22" ht="12.75" hidden="1">
      <c r="A174" s="40" t="s">
        <v>521</v>
      </c>
      <c r="B174" s="41">
        <v>39.35</v>
      </c>
      <c r="C174" s="42"/>
      <c r="D174" s="42"/>
      <c r="E174" s="42"/>
      <c r="F174" s="42">
        <v>84306</v>
      </c>
      <c r="G174" s="42"/>
      <c r="H174" s="42"/>
      <c r="I174" s="42"/>
      <c r="J174" s="42"/>
      <c r="K174" s="42"/>
      <c r="L174" s="42"/>
      <c r="M174" s="42"/>
      <c r="N174" s="42"/>
      <c r="O174" s="42"/>
      <c r="P174" s="31"/>
      <c r="Q174" s="42"/>
      <c r="R174" s="24">
        <f t="shared" si="16"/>
        <v>0</v>
      </c>
      <c r="S174" s="42"/>
      <c r="T174" s="42"/>
      <c r="U174" s="131" t="e">
        <f>(S174-Q174)/Q174</f>
        <v>#DIV/0!</v>
      </c>
      <c r="V174" s="98"/>
    </row>
    <row r="175" spans="1:22" ht="12.75">
      <c r="A175" s="40" t="s">
        <v>881</v>
      </c>
      <c r="B175" s="41">
        <v>61.1</v>
      </c>
      <c r="C175" s="42"/>
      <c r="D175" s="42"/>
      <c r="E175" s="42"/>
      <c r="F175" s="22">
        <v>-5000</v>
      </c>
      <c r="I175" s="22">
        <v>12</v>
      </c>
      <c r="J175" s="22">
        <v>3</v>
      </c>
      <c r="O175" s="197"/>
      <c r="P175" s="31"/>
      <c r="Q175" s="42"/>
      <c r="R175" s="24">
        <f t="shared" si="16"/>
        <v>0</v>
      </c>
      <c r="S175" s="42"/>
      <c r="T175" s="42"/>
      <c r="U175" s="131"/>
      <c r="V175" s="98"/>
    </row>
    <row r="176" spans="1:22" ht="12.75" hidden="1">
      <c r="A176" s="40" t="s">
        <v>333</v>
      </c>
      <c r="B176" s="41">
        <v>61.21</v>
      </c>
      <c r="C176" s="42"/>
      <c r="D176" s="42"/>
      <c r="E176" s="42">
        <v>5814</v>
      </c>
      <c r="F176" s="42"/>
      <c r="G176" s="42"/>
      <c r="H176" s="42"/>
      <c r="I176" s="42"/>
      <c r="J176" s="42"/>
      <c r="K176" s="42"/>
      <c r="L176" s="42"/>
      <c r="M176" s="42"/>
      <c r="N176" s="42"/>
      <c r="P176" s="31"/>
      <c r="Q176" s="42"/>
      <c r="R176" s="24">
        <f t="shared" si="16"/>
        <v>0</v>
      </c>
      <c r="S176" s="42"/>
      <c r="T176" s="42"/>
      <c r="U176" s="98"/>
      <c r="V176" s="98"/>
    </row>
    <row r="177" spans="1:22" ht="12.75" hidden="1">
      <c r="A177" s="44" t="s">
        <v>136</v>
      </c>
      <c r="B177" s="41"/>
      <c r="C177" s="24">
        <v>25392</v>
      </c>
      <c r="D177" s="24">
        <v>180123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31"/>
      <c r="Q177" s="42"/>
      <c r="R177" s="24">
        <f t="shared" si="16"/>
        <v>0</v>
      </c>
      <c r="S177" s="42"/>
      <c r="T177" s="42"/>
      <c r="U177" s="98"/>
      <c r="V177" s="98"/>
    </row>
    <row r="178" spans="1:23" ht="12.75">
      <c r="A178" s="40" t="s">
        <v>1010</v>
      </c>
      <c r="B178" s="41"/>
      <c r="C178" s="42"/>
      <c r="D178" s="42"/>
      <c r="E178" s="42"/>
      <c r="F178" s="42"/>
      <c r="G178" s="42">
        <v>223418</v>
      </c>
      <c r="H178" s="22">
        <v>1356</v>
      </c>
      <c r="I178" s="22">
        <v>141864</v>
      </c>
      <c r="J178" s="22">
        <f>-9217752+9432954</f>
        <v>215202</v>
      </c>
      <c r="K178" s="24"/>
      <c r="L178" s="24"/>
      <c r="M178" s="24"/>
      <c r="N178" s="24">
        <v>87401</v>
      </c>
      <c r="O178" s="42"/>
      <c r="P178" s="31"/>
      <c r="Q178" s="42"/>
      <c r="R178" s="24">
        <f t="shared" si="16"/>
        <v>0</v>
      </c>
      <c r="S178" s="42"/>
      <c r="T178" s="42"/>
      <c r="U178" s="98"/>
      <c r="V178" s="98"/>
      <c r="W178" s="22" t="s">
        <v>892</v>
      </c>
    </row>
    <row r="179" spans="1:22" ht="12.75">
      <c r="A179" s="45" t="s">
        <v>119</v>
      </c>
      <c r="B179" s="45"/>
      <c r="C179" s="46">
        <f>SUM(C5:C177)</f>
        <v>5836900</v>
      </c>
      <c r="D179" s="46">
        <f>SUM(D5:D177)</f>
        <v>6556682</v>
      </c>
      <c r="E179" s="46">
        <f>SUM(E5:E177)</f>
        <v>7043683</v>
      </c>
      <c r="F179" s="46">
        <f>SUM(F5:F177)</f>
        <v>7412617</v>
      </c>
      <c r="G179" s="46">
        <f>SUM(G5:G178)</f>
        <v>7656783</v>
      </c>
      <c r="H179" s="46">
        <v>8020050</v>
      </c>
      <c r="I179" s="46">
        <v>8417220</v>
      </c>
      <c r="J179" s="46">
        <v>9432954.280000001</v>
      </c>
      <c r="K179" s="46">
        <v>9535056.08</v>
      </c>
      <c r="L179" s="46">
        <v>9134528</v>
      </c>
      <c r="M179" s="46">
        <v>8852418</v>
      </c>
      <c r="N179" s="46">
        <v>9083271.99</v>
      </c>
      <c r="O179" s="46">
        <f aca="true" t="shared" si="17" ref="O179:T179">SUM(O5:O178)</f>
        <v>8055019</v>
      </c>
      <c r="P179" s="46">
        <f t="shared" si="17"/>
        <v>8701816.81818182</v>
      </c>
      <c r="Q179" s="46">
        <f t="shared" si="17"/>
        <v>8452549</v>
      </c>
      <c r="R179" s="46">
        <f t="shared" si="17"/>
        <v>236107.81818181812</v>
      </c>
      <c r="S179" s="46">
        <f t="shared" si="17"/>
        <v>8537690</v>
      </c>
      <c r="T179" s="46">
        <f t="shared" si="17"/>
        <v>8906845</v>
      </c>
      <c r="U179" s="91">
        <f>(Q179-O179)/O179</f>
        <v>0.049351838896965976</v>
      </c>
      <c r="V179" s="91">
        <f>(T179-Q179)/Q179</f>
        <v>0.053746627200859765</v>
      </c>
    </row>
    <row r="180" spans="1:22" ht="15" customHeight="1">
      <c r="A180" s="22" t="s">
        <v>651</v>
      </c>
      <c r="C180" s="55"/>
      <c r="D180" s="55">
        <f>D179-C179</f>
        <v>719782</v>
      </c>
      <c r="E180" s="55">
        <f>E179-D179</f>
        <v>487001</v>
      </c>
      <c r="F180" s="55">
        <f>F179-E179</f>
        <v>368934</v>
      </c>
      <c r="G180" s="55">
        <f>G179-F179</f>
        <v>244166</v>
      </c>
      <c r="H180" s="55">
        <f>H179-G179</f>
        <v>363267</v>
      </c>
      <c r="I180" s="55">
        <v>397170</v>
      </c>
      <c r="J180" s="55">
        <v>1015734.28</v>
      </c>
      <c r="K180" s="55">
        <v>102101.79999999888</v>
      </c>
      <c r="L180" s="55">
        <f>L179-K179</f>
        <v>-400528.0800000001</v>
      </c>
      <c r="M180" s="55">
        <f>M179-L179</f>
        <v>-282110</v>
      </c>
      <c r="N180" s="55">
        <f>N179-M179</f>
        <v>230853.99000000022</v>
      </c>
      <c r="O180" s="55"/>
      <c r="P180" s="55"/>
      <c r="S180" s="31"/>
      <c r="T180" s="31"/>
      <c r="U180" s="100"/>
      <c r="V180" s="100"/>
    </row>
    <row r="181" spans="3:22" ht="17.25" customHeight="1">
      <c r="C181" s="31"/>
      <c r="D181" s="121">
        <f aca="true" t="shared" si="18" ref="D181:N181">D180/C179</f>
        <v>0.12331580119584026</v>
      </c>
      <c r="E181" s="121">
        <f t="shared" si="18"/>
        <v>0.07427552533430781</v>
      </c>
      <c r="F181" s="121">
        <f t="shared" si="18"/>
        <v>0.05237799600010392</v>
      </c>
      <c r="G181" s="121">
        <f t="shared" si="18"/>
        <v>0.03293924399439496</v>
      </c>
      <c r="H181" s="121">
        <f t="shared" si="18"/>
        <v>0.04744381550319501</v>
      </c>
      <c r="I181" s="121">
        <f t="shared" si="18"/>
        <v>0.04952213514878336</v>
      </c>
      <c r="J181" s="121">
        <f t="shared" si="18"/>
        <v>0.1206733672162543</v>
      </c>
      <c r="K181" s="121">
        <f t="shared" si="18"/>
        <v>0.010823947298936645</v>
      </c>
      <c r="L181" s="121">
        <f t="shared" si="18"/>
        <v>-0.04200584418586871</v>
      </c>
      <c r="M181" s="121">
        <f t="shared" si="18"/>
        <v>-0.030883916497929615</v>
      </c>
      <c r="N181" s="121">
        <f t="shared" si="18"/>
        <v>0.026078071550620432</v>
      </c>
      <c r="O181" s="121"/>
      <c r="Q181" s="31"/>
      <c r="R181" s="31"/>
      <c r="S181" s="31"/>
      <c r="T181" s="31">
        <f>T179-S179</f>
        <v>369155</v>
      </c>
      <c r="U181" s="100"/>
      <c r="V181" s="100"/>
    </row>
    <row r="182" spans="1:25" ht="15.75">
      <c r="A182" s="116" t="s">
        <v>627</v>
      </c>
      <c r="M182" s="31"/>
      <c r="N182" s="31"/>
      <c r="P182" s="200"/>
      <c r="Q182" s="31"/>
      <c r="Y182" s="31"/>
    </row>
    <row r="183" spans="10:16" ht="12.75">
      <c r="J183" s="92"/>
      <c r="K183" s="92"/>
      <c r="L183" s="92"/>
      <c r="M183" s="92"/>
      <c r="N183" s="92"/>
      <c r="P183" s="121"/>
    </row>
    <row r="184" spans="21:22" ht="12.75">
      <c r="U184" s="31"/>
      <c r="V184" s="31"/>
    </row>
    <row r="188" spans="11:15" ht="12.75">
      <c r="K188" s="40"/>
      <c r="L188" s="40"/>
      <c r="M188" s="40"/>
      <c r="N188" s="40"/>
      <c r="O188" s="40"/>
    </row>
    <row r="189" spans="11:15" ht="12.75">
      <c r="K189" s="40"/>
      <c r="L189" s="40"/>
      <c r="M189" s="40"/>
      <c r="N189" s="40"/>
      <c r="O189" s="40"/>
    </row>
    <row r="190" spans="11:15" ht="12.75">
      <c r="K190" s="40"/>
      <c r="L190" s="40"/>
      <c r="M190" s="40"/>
      <c r="N190" s="40"/>
      <c r="O190" s="40"/>
    </row>
    <row r="191" spans="11:15" ht="12.75">
      <c r="K191" s="40"/>
      <c r="L191" s="40"/>
      <c r="M191" s="40"/>
      <c r="N191" s="40"/>
      <c r="O191" s="40"/>
    </row>
    <row r="192" spans="11:15" ht="12.75">
      <c r="K192" s="40"/>
      <c r="L192" s="40"/>
      <c r="M192" s="40"/>
      <c r="N192" s="40"/>
      <c r="O192" s="40"/>
    </row>
    <row r="193" spans="11:15" ht="12.75">
      <c r="K193" s="40"/>
      <c r="L193" s="40"/>
      <c r="M193" s="40"/>
      <c r="N193" s="40"/>
      <c r="O193" s="40"/>
    </row>
    <row r="194" spans="11:15" ht="12.75">
      <c r="K194" s="40"/>
      <c r="L194" s="40"/>
      <c r="M194" s="40"/>
      <c r="N194" s="40"/>
      <c r="O194" s="40"/>
    </row>
    <row r="195" spans="11:15" ht="12.75">
      <c r="K195" s="40"/>
      <c r="L195" s="40"/>
      <c r="M195" s="40"/>
      <c r="N195" s="40"/>
      <c r="O195" s="40"/>
    </row>
    <row r="196" spans="11:15" ht="12.75">
      <c r="K196" s="40"/>
      <c r="L196" s="40"/>
      <c r="M196" s="40"/>
      <c r="N196" s="40"/>
      <c r="O196" s="40"/>
    </row>
    <row r="197" spans="11:15" ht="12.75">
      <c r="K197" s="40"/>
      <c r="L197" s="40"/>
      <c r="M197" s="40"/>
      <c r="N197" s="40"/>
      <c r="O197" s="40"/>
    </row>
    <row r="198" spans="11:15" ht="12.75">
      <c r="K198" s="40"/>
      <c r="L198" s="40"/>
      <c r="M198" s="40"/>
      <c r="N198" s="40"/>
      <c r="O198" s="40"/>
    </row>
    <row r="199" spans="11:15" ht="12.75">
      <c r="K199" s="40"/>
      <c r="L199" s="40"/>
      <c r="M199" s="40"/>
      <c r="N199" s="40"/>
      <c r="O199" s="40"/>
    </row>
    <row r="200" spans="11:15" ht="12.75">
      <c r="K200" s="40"/>
      <c r="L200" s="40"/>
      <c r="M200" s="40"/>
      <c r="N200" s="40"/>
      <c r="O200" s="40"/>
    </row>
    <row r="201" spans="11:15" ht="12.75">
      <c r="K201" s="40"/>
      <c r="L201" s="40"/>
      <c r="M201" s="40"/>
      <c r="N201" s="40"/>
      <c r="O201" s="40"/>
    </row>
    <row r="202" spans="11:15" ht="12.75">
      <c r="K202" s="40"/>
      <c r="L202" s="40"/>
      <c r="M202" s="40"/>
      <c r="N202" s="40"/>
      <c r="O202" s="40"/>
    </row>
    <row r="203" spans="11:15" ht="12.75">
      <c r="K203" s="40"/>
      <c r="L203" s="40"/>
      <c r="M203" s="40"/>
      <c r="N203" s="40"/>
      <c r="O203" s="40"/>
    </row>
    <row r="204" spans="11:15" ht="12.75">
      <c r="K204" s="40"/>
      <c r="L204" s="40"/>
      <c r="M204" s="40"/>
      <c r="N204" s="40"/>
      <c r="O204" s="40"/>
    </row>
    <row r="205" spans="11:15" ht="12.75">
      <c r="K205" s="40"/>
      <c r="L205" s="40"/>
      <c r="M205" s="40"/>
      <c r="N205" s="40"/>
      <c r="O205" s="40"/>
    </row>
    <row r="206" spans="11:15" ht="12.75">
      <c r="K206" s="40"/>
      <c r="L206" s="40"/>
      <c r="M206" s="40"/>
      <c r="N206" s="40"/>
      <c r="O206" s="40"/>
    </row>
    <row r="207" spans="11:15" ht="12.75">
      <c r="K207" s="40"/>
      <c r="L207" s="40"/>
      <c r="M207" s="40"/>
      <c r="N207" s="40"/>
      <c r="O207" s="40"/>
    </row>
    <row r="208" spans="11:15" ht="12.75">
      <c r="K208" s="40"/>
      <c r="L208" s="40"/>
      <c r="M208" s="40"/>
      <c r="N208" s="40"/>
      <c r="O208" s="40"/>
    </row>
    <row r="209" spans="11:15" ht="12.75">
      <c r="K209" s="40"/>
      <c r="L209" s="40"/>
      <c r="M209" s="40"/>
      <c r="N209" s="40"/>
      <c r="O209" s="40"/>
    </row>
    <row r="210" spans="11:15" ht="12.75">
      <c r="K210" s="40"/>
      <c r="L210" s="40"/>
      <c r="M210" s="40"/>
      <c r="N210" s="40"/>
      <c r="O210" s="40"/>
    </row>
    <row r="211" spans="11:15" ht="12.75">
      <c r="K211" s="40"/>
      <c r="L211" s="40"/>
      <c r="M211" s="40"/>
      <c r="N211" s="40"/>
      <c r="O211" s="40"/>
    </row>
    <row r="212" spans="11:15" ht="12.75">
      <c r="K212" s="40"/>
      <c r="L212" s="40"/>
      <c r="M212" s="40"/>
      <c r="N212" s="40"/>
      <c r="O212" s="40"/>
    </row>
    <row r="213" spans="11:15" ht="12.75">
      <c r="K213" s="40"/>
      <c r="L213" s="40"/>
      <c r="M213" s="40"/>
      <c r="N213" s="40"/>
      <c r="O213" s="40"/>
    </row>
    <row r="214" spans="11:15" ht="12.75">
      <c r="K214" s="40"/>
      <c r="L214" s="40"/>
      <c r="M214" s="40"/>
      <c r="N214" s="40"/>
      <c r="O214" s="40"/>
    </row>
    <row r="215" spans="11:15" ht="12.75">
      <c r="K215" s="40"/>
      <c r="L215" s="40"/>
      <c r="M215" s="40"/>
      <c r="N215" s="40"/>
      <c r="O215" s="40"/>
    </row>
    <row r="216" spans="11:15" ht="12.75">
      <c r="K216" s="40"/>
      <c r="L216" s="40"/>
      <c r="M216" s="40"/>
      <c r="N216" s="40"/>
      <c r="O216" s="40"/>
    </row>
    <row r="217" spans="11:15" ht="12.75">
      <c r="K217" s="40"/>
      <c r="L217" s="40"/>
      <c r="M217" s="40"/>
      <c r="N217" s="40"/>
      <c r="O217" s="40"/>
    </row>
    <row r="218" spans="11:15" ht="12.75">
      <c r="K218" s="40"/>
      <c r="L218" s="40"/>
      <c r="M218" s="40"/>
      <c r="N218" s="40"/>
      <c r="O218" s="40"/>
    </row>
    <row r="219" spans="11:15" ht="12.75">
      <c r="K219" s="40"/>
      <c r="L219" s="40"/>
      <c r="M219" s="40"/>
      <c r="N219" s="40"/>
      <c r="O219" s="40"/>
    </row>
    <row r="220" spans="11:15" ht="12.75">
      <c r="K220" s="40"/>
      <c r="L220" s="40"/>
      <c r="M220" s="40"/>
      <c r="N220" s="40"/>
      <c r="O220" s="40"/>
    </row>
    <row r="221" spans="11:15" ht="12.75">
      <c r="K221" s="40"/>
      <c r="L221" s="40"/>
      <c r="M221" s="40"/>
      <c r="N221" s="40"/>
      <c r="O221" s="40"/>
    </row>
    <row r="222" spans="11:15" ht="12.75">
      <c r="K222" s="40"/>
      <c r="L222" s="40"/>
      <c r="M222" s="40"/>
      <c r="N222" s="40"/>
      <c r="O222" s="40"/>
    </row>
    <row r="223" spans="11:15" ht="12.75">
      <c r="K223" s="40"/>
      <c r="L223" s="40"/>
      <c r="M223" s="40"/>
      <c r="N223" s="40"/>
      <c r="O223" s="40"/>
    </row>
    <row r="224" spans="11:15" ht="12.75">
      <c r="K224" s="40"/>
      <c r="L224" s="40"/>
      <c r="M224" s="40"/>
      <c r="N224" s="40"/>
      <c r="O224" s="40"/>
    </row>
    <row r="225" spans="11:15" ht="12.75">
      <c r="K225" s="40"/>
      <c r="L225" s="40"/>
      <c r="M225" s="40"/>
      <c r="N225" s="40"/>
      <c r="O225" s="40"/>
    </row>
    <row r="226" spans="11:15" ht="12.75">
      <c r="K226" s="40"/>
      <c r="L226" s="40"/>
      <c r="M226" s="40"/>
      <c r="N226" s="40"/>
      <c r="O226" s="40"/>
    </row>
    <row r="227" spans="11:15" ht="12.75">
      <c r="K227" s="40"/>
      <c r="L227" s="40"/>
      <c r="M227" s="40"/>
      <c r="N227" s="40"/>
      <c r="O227" s="40"/>
    </row>
    <row r="228" spans="11:15" ht="12.75">
      <c r="K228" s="40"/>
      <c r="L228" s="40"/>
      <c r="M228" s="40"/>
      <c r="N228" s="40"/>
      <c r="O228" s="40"/>
    </row>
    <row r="229" spans="11:15" ht="12.75">
      <c r="K229" s="40"/>
      <c r="L229" s="40"/>
      <c r="M229" s="40"/>
      <c r="N229" s="40"/>
      <c r="O229" s="40"/>
    </row>
    <row r="230" spans="11:15" ht="12.75">
      <c r="K230" s="40"/>
      <c r="L230" s="40"/>
      <c r="M230" s="40"/>
      <c r="N230" s="40"/>
      <c r="O230" s="40"/>
    </row>
    <row r="231" spans="11:15" ht="12.75">
      <c r="K231" s="40"/>
      <c r="L231" s="40"/>
      <c r="M231" s="40"/>
      <c r="N231" s="40"/>
      <c r="O231" s="40"/>
    </row>
    <row r="232" spans="11:15" ht="12.75">
      <c r="K232" s="40"/>
      <c r="L232" s="40"/>
      <c r="M232" s="40"/>
      <c r="N232" s="40"/>
      <c r="O232" s="40"/>
    </row>
    <row r="233" spans="11:15" ht="12.75">
      <c r="K233" s="40"/>
      <c r="L233" s="40"/>
      <c r="M233" s="40"/>
      <c r="N233" s="40"/>
      <c r="O233" s="40"/>
    </row>
    <row r="234" spans="11:15" ht="12.75">
      <c r="K234" s="40"/>
      <c r="L234" s="40"/>
      <c r="M234" s="40"/>
      <c r="N234" s="40"/>
      <c r="O234" s="40"/>
    </row>
    <row r="235" spans="11:15" ht="12.75">
      <c r="K235" s="40"/>
      <c r="L235" s="40"/>
      <c r="M235" s="40"/>
      <c r="N235" s="40"/>
      <c r="O235" s="40"/>
    </row>
    <row r="236" spans="11:15" ht="12.75">
      <c r="K236" s="40"/>
      <c r="L236" s="40"/>
      <c r="M236" s="40"/>
      <c r="N236" s="40"/>
      <c r="O236" s="40"/>
    </row>
    <row r="237" spans="11:15" ht="12.75">
      <c r="K237" s="40"/>
      <c r="L237" s="40"/>
      <c r="M237" s="40"/>
      <c r="N237" s="40"/>
      <c r="O237" s="40"/>
    </row>
    <row r="238" spans="11:15" ht="12.75">
      <c r="K238" s="40"/>
      <c r="L238" s="40"/>
      <c r="M238" s="40"/>
      <c r="N238" s="40"/>
      <c r="O238" s="40"/>
    </row>
    <row r="239" spans="11:15" ht="12.75">
      <c r="K239" s="40"/>
      <c r="L239" s="40"/>
      <c r="M239" s="40"/>
      <c r="N239" s="40"/>
      <c r="O239" s="40"/>
    </row>
    <row r="240" spans="11:15" ht="12.75">
      <c r="K240" s="40"/>
      <c r="L240" s="40"/>
      <c r="M240" s="40"/>
      <c r="N240" s="40"/>
      <c r="O240" s="40"/>
    </row>
    <row r="241" spans="11:15" ht="12.75">
      <c r="K241" s="40"/>
      <c r="L241" s="40"/>
      <c r="M241" s="40"/>
      <c r="N241" s="40"/>
      <c r="O241" s="40"/>
    </row>
    <row r="242" spans="11:15" ht="12.75">
      <c r="K242" s="40"/>
      <c r="L242" s="40"/>
      <c r="M242" s="40"/>
      <c r="N242" s="40"/>
      <c r="O242" s="40"/>
    </row>
    <row r="243" spans="11:15" ht="12.75">
      <c r="K243" s="40"/>
      <c r="L243" s="40"/>
      <c r="M243" s="40"/>
      <c r="N243" s="40"/>
      <c r="O243" s="40"/>
    </row>
    <row r="244" spans="11:15" ht="12.75">
      <c r="K244" s="40"/>
      <c r="L244" s="40"/>
      <c r="M244" s="40"/>
      <c r="N244" s="40"/>
      <c r="O244" s="40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71"/>
  <sheetViews>
    <sheetView zoomScale="75" zoomScaleNormal="75" workbookViewId="0" topLeftCell="A3">
      <selection activeCell="T12" sqref="T12:T1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11" width="8.00390625" style="0" hidden="1" customWidth="1"/>
    <col min="12" max="14" width="8.00390625" style="0" customWidth="1"/>
    <col min="15" max="15" width="7.7109375" style="0" bestFit="1" customWidth="1"/>
    <col min="16" max="16" width="8.7109375" style="0" customWidth="1"/>
    <col min="17" max="17" width="11.140625" style="0" bestFit="1" customWidth="1"/>
    <col min="18" max="18" width="9.28125" style="0" bestFit="1" customWidth="1"/>
    <col min="19" max="19" width="10.851562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456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s="22" t="s">
        <v>652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v>4500</v>
      </c>
      <c r="O7" s="2"/>
      <c r="P7" s="2">
        <f aca="true" t="shared" si="0" ref="P7:P17">+O7/$O$3*12</f>
        <v>0</v>
      </c>
      <c r="Q7" s="2"/>
      <c r="R7" s="2">
        <v>7200</v>
      </c>
      <c r="S7" s="2">
        <v>7200</v>
      </c>
      <c r="T7" s="2">
        <v>5000</v>
      </c>
      <c r="U7" s="89" t="e">
        <f>(T7-Q7)/Q7</f>
        <v>#DIV/0!</v>
      </c>
      <c r="V7" t="s">
        <v>367</v>
      </c>
    </row>
    <row r="8" spans="1:21" ht="12.75">
      <c r="A8" t="s">
        <v>141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v>344</v>
      </c>
      <c r="O8" s="2"/>
      <c r="P8" s="2">
        <f>0.0765*P7</f>
        <v>0</v>
      </c>
      <c r="Q8" s="2"/>
      <c r="R8" s="2"/>
      <c r="S8" s="2"/>
      <c r="T8" s="2"/>
      <c r="U8" s="89"/>
    </row>
    <row r="9" spans="2:21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9"/>
    </row>
    <row r="10" spans="1:22" ht="12.75">
      <c r="A10" s="33" t="s">
        <v>352</v>
      </c>
      <c r="B10" s="34">
        <v>52.1317</v>
      </c>
      <c r="C10" s="13"/>
      <c r="D10" s="13"/>
      <c r="E10" s="13"/>
      <c r="F10" s="20">
        <v>636</v>
      </c>
      <c r="G10" s="20">
        <v>242</v>
      </c>
      <c r="H10" s="20">
        <v>362</v>
      </c>
      <c r="I10" s="20">
        <v>473</v>
      </c>
      <c r="J10" s="20">
        <v>815</v>
      </c>
      <c r="K10" s="20">
        <v>378</v>
      </c>
      <c r="L10" s="20">
        <v>336</v>
      </c>
      <c r="M10" s="20">
        <v>229</v>
      </c>
      <c r="N10" s="20">
        <v>63</v>
      </c>
      <c r="O10" s="20"/>
      <c r="P10" s="2">
        <f t="shared" si="0"/>
        <v>0</v>
      </c>
      <c r="Q10" s="20"/>
      <c r="R10" s="20"/>
      <c r="S10" s="20"/>
      <c r="T10" s="20"/>
      <c r="U10" s="89"/>
      <c r="V10" s="6"/>
    </row>
    <row r="11" spans="1:21" ht="12.75" hidden="1">
      <c r="A11" t="s">
        <v>143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89"/>
    </row>
    <row r="12" spans="1:21" ht="12.75">
      <c r="A12" t="s">
        <v>144</v>
      </c>
      <c r="B12" s="4">
        <v>52.321</v>
      </c>
      <c r="C12" s="2">
        <v>1973</v>
      </c>
      <c r="D12" s="2">
        <v>1102</v>
      </c>
      <c r="E12" s="2">
        <v>1133</v>
      </c>
      <c r="F12" s="2">
        <v>1419</v>
      </c>
      <c r="G12" s="2">
        <v>977</v>
      </c>
      <c r="H12" s="2">
        <v>1319</v>
      </c>
      <c r="I12" s="2">
        <v>897</v>
      </c>
      <c r="J12" s="2">
        <v>1497</v>
      </c>
      <c r="K12" s="2">
        <v>1177</v>
      </c>
      <c r="L12" s="2">
        <v>823</v>
      </c>
      <c r="M12" s="2">
        <v>1400</v>
      </c>
      <c r="N12" s="2">
        <v>1034</v>
      </c>
      <c r="O12" s="2">
        <v>1267</v>
      </c>
      <c r="P12" s="2">
        <f t="shared" si="0"/>
        <v>1900.5</v>
      </c>
      <c r="Q12" s="2">
        <v>1500</v>
      </c>
      <c r="R12" s="2">
        <v>2000</v>
      </c>
      <c r="S12" s="2">
        <v>2000</v>
      </c>
      <c r="T12" s="2">
        <v>2000</v>
      </c>
      <c r="U12" s="89">
        <f>(T12-Q12)/Q12</f>
        <v>0.3333333333333333</v>
      </c>
    </row>
    <row r="13" spans="1:22" ht="12.75">
      <c r="A13" t="s">
        <v>165</v>
      </c>
      <c r="B13" s="4">
        <v>52.33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1800</v>
      </c>
      <c r="N13" s="2">
        <v>869</v>
      </c>
      <c r="O13" s="2">
        <v>756</v>
      </c>
      <c r="P13" s="2">
        <f>+O13/$O$3*12</f>
        <v>1134</v>
      </c>
      <c r="Q13" s="2">
        <v>1600</v>
      </c>
      <c r="R13" s="2">
        <v>1600</v>
      </c>
      <c r="S13" s="2">
        <v>1400</v>
      </c>
      <c r="T13" s="2">
        <v>1400</v>
      </c>
      <c r="U13" s="89"/>
      <c r="V13" t="s">
        <v>510</v>
      </c>
    </row>
    <row r="14" spans="1:21" ht="12.75" hidden="1">
      <c r="A14" t="s">
        <v>156</v>
      </c>
      <c r="B14" s="4">
        <v>52.35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  <c r="R14" s="2"/>
      <c r="S14" s="2"/>
      <c r="T14" s="2"/>
      <c r="U14" s="89"/>
    </row>
    <row r="15" spans="1:21" ht="12.75">
      <c r="A15" t="s">
        <v>972</v>
      </c>
      <c r="B15" s="4">
        <v>52.362</v>
      </c>
      <c r="C15" s="2">
        <v>35444</v>
      </c>
      <c r="D15" s="2">
        <v>71653</v>
      </c>
      <c r="E15" s="2">
        <v>27335</v>
      </c>
      <c r="F15" s="2">
        <v>44446</v>
      </c>
      <c r="G15" s="2">
        <v>46700</v>
      </c>
      <c r="H15" s="2">
        <v>42355</v>
      </c>
      <c r="I15" s="2">
        <v>35699</v>
      </c>
      <c r="J15" s="2">
        <v>54270</v>
      </c>
      <c r="K15" s="2">
        <v>39479</v>
      </c>
      <c r="L15" s="2">
        <v>40351</v>
      </c>
      <c r="M15" s="2">
        <v>40000</v>
      </c>
      <c r="N15" s="2">
        <v>53040</v>
      </c>
      <c r="O15" s="2">
        <v>34664</v>
      </c>
      <c r="P15" s="2">
        <f t="shared" si="0"/>
        <v>51996</v>
      </c>
      <c r="Q15" s="2">
        <v>43000</v>
      </c>
      <c r="R15" s="2">
        <v>43000</v>
      </c>
      <c r="S15" s="2">
        <v>43000</v>
      </c>
      <c r="T15" s="2">
        <v>43000</v>
      </c>
      <c r="U15" s="89">
        <f>(T15-Q15)/Q15</f>
        <v>0</v>
      </c>
    </row>
    <row r="16" spans="1:21" ht="12.75">
      <c r="A16" t="s">
        <v>151</v>
      </c>
      <c r="B16" s="4">
        <v>53.171</v>
      </c>
      <c r="C16" s="2">
        <v>1666</v>
      </c>
      <c r="D16" s="2">
        <v>990</v>
      </c>
      <c r="E16" s="2">
        <v>786</v>
      </c>
      <c r="F16" s="2">
        <v>1058</v>
      </c>
      <c r="G16" s="2">
        <v>739</v>
      </c>
      <c r="H16" s="2">
        <v>820</v>
      </c>
      <c r="I16" s="2">
        <v>668</v>
      </c>
      <c r="J16" s="2">
        <v>1011</v>
      </c>
      <c r="K16" s="2">
        <v>749</v>
      </c>
      <c r="L16" s="2">
        <v>1540</v>
      </c>
      <c r="M16" s="2">
        <v>322</v>
      </c>
      <c r="N16" s="2">
        <v>1455</v>
      </c>
      <c r="O16" s="2">
        <v>934</v>
      </c>
      <c r="P16" s="2">
        <f t="shared" si="0"/>
        <v>1401</v>
      </c>
      <c r="Q16" s="2">
        <v>700</v>
      </c>
      <c r="R16" s="2">
        <v>1000</v>
      </c>
      <c r="S16" s="2">
        <v>1000</v>
      </c>
      <c r="T16" s="2">
        <v>1000</v>
      </c>
      <c r="U16" s="89">
        <f>(T16-Q16)/Q16</f>
        <v>0.42857142857142855</v>
      </c>
    </row>
    <row r="17" spans="1:22" ht="12.75">
      <c r="A17" s="33" t="s">
        <v>353</v>
      </c>
      <c r="B17" s="34">
        <v>53.179</v>
      </c>
      <c r="C17" s="32"/>
      <c r="D17" s="32"/>
      <c r="E17" s="32"/>
      <c r="F17" s="20">
        <v>83</v>
      </c>
      <c r="G17" s="20">
        <v>46</v>
      </c>
      <c r="H17" s="20">
        <v>70</v>
      </c>
      <c r="I17" s="20">
        <v>40</v>
      </c>
      <c r="J17" s="20"/>
      <c r="K17" s="20">
        <v>62</v>
      </c>
      <c r="L17" s="20"/>
      <c r="M17" s="20"/>
      <c r="N17" s="20"/>
      <c r="O17" s="20"/>
      <c r="P17" s="20">
        <f t="shared" si="0"/>
        <v>0</v>
      </c>
      <c r="Q17" s="20"/>
      <c r="R17" s="20"/>
      <c r="S17" s="20"/>
      <c r="T17" s="20"/>
      <c r="U17" s="89" t="e">
        <f>(T17-Q17)/Q17</f>
        <v>#DIV/0!</v>
      </c>
      <c r="V17" s="6"/>
    </row>
    <row r="18" spans="2:21" ht="12.7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  <c r="R18" s="5"/>
      <c r="S18" s="5"/>
      <c r="T18" s="2"/>
      <c r="U18" s="51"/>
    </row>
    <row r="19" spans="2:21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1"/>
    </row>
    <row r="20" spans="1:23" ht="12.75">
      <c r="A20" s="6" t="s">
        <v>119</v>
      </c>
      <c r="B20" s="6"/>
      <c r="C20" s="7">
        <f>SUM(C7:C16)</f>
        <v>39186</v>
      </c>
      <c r="D20" s="8">
        <f>SUM(D7:D16)</f>
        <v>81764</v>
      </c>
      <c r="E20" s="8">
        <f>SUM(E7:E19)</f>
        <v>29469</v>
      </c>
      <c r="F20" s="8">
        <f>SUM(F7:F19)</f>
        <v>56110</v>
      </c>
      <c r="G20" s="8">
        <f>SUM(G7:G19)</f>
        <v>48758</v>
      </c>
      <c r="H20" s="8">
        <f>SUM(H7:H19)</f>
        <v>52494</v>
      </c>
      <c r="I20" s="8">
        <f>SUM(I7:I19)</f>
        <v>37901</v>
      </c>
      <c r="J20" s="8">
        <v>67927</v>
      </c>
      <c r="K20" s="8">
        <f aca="true" t="shared" si="1" ref="K20:T20">SUM(K7:K17)</f>
        <v>42577</v>
      </c>
      <c r="L20" s="8">
        <v>52522</v>
      </c>
      <c r="M20" s="8">
        <v>43751</v>
      </c>
      <c r="N20" s="8">
        <v>61305</v>
      </c>
      <c r="O20" s="8">
        <f t="shared" si="1"/>
        <v>37621</v>
      </c>
      <c r="P20" s="8">
        <f t="shared" si="1"/>
        <v>56431.5</v>
      </c>
      <c r="Q20" s="8">
        <f t="shared" si="1"/>
        <v>46800</v>
      </c>
      <c r="R20" s="8">
        <f t="shared" si="1"/>
        <v>54800</v>
      </c>
      <c r="S20" s="8">
        <f t="shared" si="1"/>
        <v>54600</v>
      </c>
      <c r="T20" s="8">
        <f t="shared" si="1"/>
        <v>52400</v>
      </c>
      <c r="U20" s="52">
        <f>(T20-Q20)/Q20</f>
        <v>0.11965811965811966</v>
      </c>
      <c r="W20" t="s">
        <v>649</v>
      </c>
    </row>
    <row r="21" ht="12.75">
      <c r="U21" s="51"/>
    </row>
    <row r="22" spans="17:21" ht="12.75">
      <c r="Q22" s="22" t="s">
        <v>484</v>
      </c>
      <c r="R22" s="22"/>
      <c r="S22" s="55">
        <f>R20-S20</f>
        <v>200</v>
      </c>
      <c r="U22" s="51"/>
    </row>
    <row r="23" spans="17:21" ht="12.75">
      <c r="Q23" s="22" t="s">
        <v>725</v>
      </c>
      <c r="R23" s="22"/>
      <c r="S23" s="55">
        <f>Q20-S20</f>
        <v>-7800</v>
      </c>
      <c r="U23" s="51"/>
    </row>
    <row r="24" spans="1:21" ht="12.75">
      <c r="A24" s="6"/>
      <c r="Q24" s="22" t="s">
        <v>432</v>
      </c>
      <c r="R24" s="22"/>
      <c r="S24" s="55">
        <f>S20-T20</f>
        <v>2200</v>
      </c>
      <c r="U24" s="51"/>
    </row>
    <row r="25" ht="12.75">
      <c r="U25" s="51"/>
    </row>
    <row r="26" spans="1:21" ht="12.75">
      <c r="A26" s="14" t="s">
        <v>982</v>
      </c>
      <c r="U26" s="51"/>
    </row>
    <row r="27" spans="1:21" ht="12.75">
      <c r="A27" t="s">
        <v>1080</v>
      </c>
      <c r="U27" s="51"/>
    </row>
    <row r="28" ht="12.75">
      <c r="A28" s="6"/>
    </row>
    <row r="29" spans="1:23" ht="12.75">
      <c r="A29" s="6"/>
      <c r="P29" s="2"/>
      <c r="Q29" s="2"/>
      <c r="R29" s="2"/>
      <c r="S29" s="2"/>
      <c r="T29" s="2"/>
      <c r="U29" s="2"/>
      <c r="V29" s="2"/>
      <c r="W29" s="2"/>
    </row>
    <row r="30" spans="16:23" ht="12.75">
      <c r="P30" s="2"/>
      <c r="Q30" s="2"/>
      <c r="R30" s="2"/>
      <c r="S30" s="2"/>
      <c r="T30" s="2"/>
      <c r="U30" s="2"/>
      <c r="V30" s="2"/>
      <c r="W30" s="2"/>
    </row>
    <row r="31" spans="16:23" ht="12.75">
      <c r="P31" s="2"/>
      <c r="Q31" s="2"/>
      <c r="R31" s="2"/>
      <c r="S31" s="2"/>
      <c r="T31" s="2"/>
      <c r="U31" s="2"/>
      <c r="V31" s="2"/>
      <c r="W31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V15"/>
  <sheetViews>
    <sheetView workbookViewId="0" topLeftCell="A1">
      <selection activeCell="P5" sqref="P5:P6"/>
    </sheetView>
  </sheetViews>
  <sheetFormatPr defaultColWidth="9.140625" defaultRowHeight="12.75"/>
  <cols>
    <col min="1" max="1" width="27.140625" style="33" bestFit="1" customWidth="1"/>
    <col min="2" max="2" width="6.28125" style="33" customWidth="1"/>
    <col min="3" max="3" width="8.7109375" style="33" hidden="1" customWidth="1"/>
    <col min="4" max="4" width="6.28125" style="33" hidden="1" customWidth="1"/>
    <col min="5" max="5" width="6.57421875" style="33" hidden="1" customWidth="1"/>
    <col min="6" max="7" width="6.28125" style="33" hidden="1" customWidth="1"/>
    <col min="8" max="10" width="6.28125" style="33" customWidth="1"/>
    <col min="11" max="11" width="6.28125" style="33" bestFit="1" customWidth="1"/>
    <col min="12" max="12" width="8.7109375" style="33" customWidth="1"/>
    <col min="13" max="13" width="6.8515625" style="33" bestFit="1" customWidth="1"/>
    <col min="14" max="14" width="7.8515625" style="33" bestFit="1" customWidth="1"/>
    <col min="15" max="15" width="6.8515625" style="33" bestFit="1" customWidth="1"/>
    <col min="16" max="16" width="8.57421875" style="33" bestFit="1" customWidth="1"/>
    <col min="17" max="17" width="8.00390625" style="33" bestFit="1" customWidth="1"/>
    <col min="18" max="16384" width="8.7109375" style="33" customWidth="1"/>
  </cols>
  <sheetData>
    <row r="1" spans="1:19" ht="12.75">
      <c r="A1" s="140" t="s">
        <v>811</v>
      </c>
      <c r="B1" s="10"/>
      <c r="C1" s="10"/>
      <c r="D1" s="10"/>
      <c r="E1" s="94"/>
      <c r="F1" s="94"/>
      <c r="G1" s="94"/>
      <c r="H1" s="94"/>
      <c r="I1" s="94"/>
      <c r="J1" s="94"/>
      <c r="K1" s="141">
        <v>8</v>
      </c>
      <c r="L1" s="10"/>
      <c r="M1" s="10"/>
      <c r="N1" s="10"/>
      <c r="O1" s="10"/>
      <c r="P1" s="10"/>
      <c r="Q1" s="94" t="s">
        <v>350</v>
      </c>
      <c r="R1" s="10"/>
      <c r="S1" s="10"/>
    </row>
    <row r="2" spans="1:19" ht="12.75">
      <c r="A2" s="10"/>
      <c r="B2" s="10"/>
      <c r="C2" s="10"/>
      <c r="D2" s="10"/>
      <c r="E2" s="94"/>
      <c r="F2" s="94"/>
      <c r="G2" s="94"/>
      <c r="H2" s="94"/>
      <c r="I2" s="94"/>
      <c r="J2" s="94"/>
      <c r="K2" s="94" t="s">
        <v>430</v>
      </c>
      <c r="L2" s="10"/>
      <c r="M2" s="94"/>
      <c r="N2" s="94" t="s">
        <v>425</v>
      </c>
      <c r="O2" s="94" t="s">
        <v>427</v>
      </c>
      <c r="P2" s="94" t="s">
        <v>428</v>
      </c>
      <c r="Q2" s="94" t="s">
        <v>422</v>
      </c>
      <c r="R2" s="10"/>
      <c r="S2" s="10"/>
    </row>
    <row r="3" spans="1:19" ht="12.75">
      <c r="A3" s="10"/>
      <c r="B3" s="10"/>
      <c r="C3" s="94" t="s">
        <v>421</v>
      </c>
      <c r="D3" s="94" t="s">
        <v>421</v>
      </c>
      <c r="E3" s="94" t="s">
        <v>421</v>
      </c>
      <c r="F3" s="94" t="s">
        <v>421</v>
      </c>
      <c r="G3" s="94" t="s">
        <v>421</v>
      </c>
      <c r="H3" s="94" t="s">
        <v>421</v>
      </c>
      <c r="I3" s="94" t="s">
        <v>421</v>
      </c>
      <c r="J3" s="94" t="s">
        <v>421</v>
      </c>
      <c r="K3" s="94" t="s">
        <v>421</v>
      </c>
      <c r="L3" s="94" t="s">
        <v>431</v>
      </c>
      <c r="M3" s="94" t="s">
        <v>350</v>
      </c>
      <c r="N3" s="94" t="s">
        <v>426</v>
      </c>
      <c r="O3" s="94" t="s">
        <v>657</v>
      </c>
      <c r="P3" s="94" t="s">
        <v>417</v>
      </c>
      <c r="Q3" s="94" t="s">
        <v>423</v>
      </c>
      <c r="R3" s="10"/>
      <c r="S3" s="10"/>
    </row>
    <row r="4" spans="1:19" ht="12.75">
      <c r="A4" s="10" t="s">
        <v>121</v>
      </c>
      <c r="B4" s="10"/>
      <c r="C4" s="142">
        <v>2003</v>
      </c>
      <c r="D4" s="142">
        <v>2004</v>
      </c>
      <c r="E4" s="142">
        <v>2005</v>
      </c>
      <c r="F4" s="142">
        <v>2006</v>
      </c>
      <c r="G4" s="142">
        <v>2007</v>
      </c>
      <c r="H4" s="142">
        <v>2008</v>
      </c>
      <c r="I4" s="142">
        <v>2009</v>
      </c>
      <c r="J4" s="142">
        <v>2010</v>
      </c>
      <c r="K4" s="23">
        <v>2011</v>
      </c>
      <c r="L4" s="23">
        <v>2011</v>
      </c>
      <c r="M4" s="23">
        <v>2011</v>
      </c>
      <c r="N4" s="23">
        <v>2012</v>
      </c>
      <c r="O4" s="23">
        <v>2012</v>
      </c>
      <c r="P4" s="23">
        <v>2012</v>
      </c>
      <c r="Q4" s="151" t="s">
        <v>1008</v>
      </c>
      <c r="R4" s="142" t="s">
        <v>118</v>
      </c>
      <c r="S4" s="10"/>
    </row>
    <row r="5" spans="1:19" ht="12.75">
      <c r="A5" s="10" t="s">
        <v>612</v>
      </c>
      <c r="B5" s="143">
        <v>52.1309</v>
      </c>
      <c r="C5" s="143"/>
      <c r="D5" s="144">
        <v>350</v>
      </c>
      <c r="E5" s="145">
        <v>350</v>
      </c>
      <c r="F5" s="145">
        <v>350</v>
      </c>
      <c r="G5" s="145">
        <v>400</v>
      </c>
      <c r="H5" s="145">
        <v>544</v>
      </c>
      <c r="I5" s="145"/>
      <c r="J5" s="145">
        <v>1953</v>
      </c>
      <c r="K5" s="145">
        <v>1084</v>
      </c>
      <c r="L5" s="145">
        <v>1100</v>
      </c>
      <c r="M5" s="145">
        <v>700</v>
      </c>
      <c r="N5" s="145">
        <v>700</v>
      </c>
      <c r="O5" s="145">
        <v>700</v>
      </c>
      <c r="P5" s="145">
        <v>700</v>
      </c>
      <c r="Q5" s="146"/>
      <c r="R5" s="10" t="s">
        <v>810</v>
      </c>
      <c r="S5" s="10"/>
    </row>
    <row r="6" spans="1:19" ht="12.75">
      <c r="A6" s="10" t="s">
        <v>813</v>
      </c>
      <c r="B6" s="143">
        <v>52.1331</v>
      </c>
      <c r="C6" s="10">
        <v>2241</v>
      </c>
      <c r="D6" s="10">
        <v>1140</v>
      </c>
      <c r="E6" s="10">
        <v>104</v>
      </c>
      <c r="F6" s="10">
        <v>1153</v>
      </c>
      <c r="G6" s="10">
        <v>405</v>
      </c>
      <c r="H6" s="10"/>
      <c r="I6" s="10">
        <v>701</v>
      </c>
      <c r="J6" s="10"/>
      <c r="K6" s="10">
        <v>657</v>
      </c>
      <c r="L6" s="10">
        <v>800</v>
      </c>
      <c r="M6" s="10">
        <v>500</v>
      </c>
      <c r="N6" s="10">
        <v>500</v>
      </c>
      <c r="O6" s="10">
        <v>500</v>
      </c>
      <c r="P6" s="10">
        <v>500</v>
      </c>
      <c r="Q6" s="10"/>
      <c r="R6" s="10"/>
      <c r="S6" s="10"/>
    </row>
    <row r="7" spans="1:1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0" t="s">
        <v>812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2" ht="12.75">
      <c r="A10" s="140" t="s">
        <v>119</v>
      </c>
      <c r="B10" s="140"/>
      <c r="C10" s="147">
        <f>SUM(C5:C9)</f>
        <v>2241</v>
      </c>
      <c r="D10" s="147">
        <f>SUM(D5:D9)</f>
        <v>1490</v>
      </c>
      <c r="E10" s="147">
        <f>SUM(E5:E9)</f>
        <v>454</v>
      </c>
      <c r="F10" s="147">
        <f>SUM(F5:F9)</f>
        <v>1503</v>
      </c>
      <c r="G10" s="147">
        <f>SUM(G5:G9)</f>
        <v>805</v>
      </c>
      <c r="H10" s="147">
        <v>544</v>
      </c>
      <c r="I10" s="147">
        <v>701</v>
      </c>
      <c r="J10" s="147">
        <v>1953</v>
      </c>
      <c r="K10" s="147">
        <f aca="true" t="shared" si="0" ref="K10:Q10">SUM(K5:K9)</f>
        <v>1741</v>
      </c>
      <c r="L10" s="147">
        <f t="shared" si="0"/>
        <v>1900</v>
      </c>
      <c r="M10" s="147">
        <f t="shared" si="0"/>
        <v>1200</v>
      </c>
      <c r="N10" s="147">
        <f t="shared" si="0"/>
        <v>1200</v>
      </c>
      <c r="O10" s="147">
        <f t="shared" si="0"/>
        <v>1200</v>
      </c>
      <c r="P10" s="147">
        <f t="shared" si="0"/>
        <v>1200</v>
      </c>
      <c r="Q10" s="147">
        <f t="shared" si="0"/>
        <v>0</v>
      </c>
      <c r="R10" s="10"/>
      <c r="S10" s="10"/>
      <c r="T10" s="138"/>
      <c r="V10" s="33" t="s">
        <v>649</v>
      </c>
    </row>
    <row r="11" spans="1:21" ht="12.75">
      <c r="A11" s="10"/>
      <c r="B11" s="10"/>
      <c r="C11" s="10"/>
      <c r="D11" s="10"/>
      <c r="E11" s="10"/>
      <c r="F11" s="10"/>
      <c r="G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U11" s="138"/>
    </row>
    <row r="12" spans="1:21" ht="12.75">
      <c r="A12" s="10"/>
      <c r="B12" s="10"/>
      <c r="C12" s="10"/>
      <c r="D12" s="10"/>
      <c r="E12" s="10"/>
      <c r="F12" s="10"/>
      <c r="G12" s="10"/>
      <c r="H12" s="10"/>
      <c r="I12" s="10"/>
      <c r="K12" s="10"/>
      <c r="L12" s="10"/>
      <c r="M12" s="10"/>
      <c r="N12" s="10"/>
      <c r="O12" s="148"/>
      <c r="P12" s="10"/>
      <c r="Q12" s="10"/>
      <c r="R12" s="10"/>
      <c r="S12" s="10"/>
      <c r="U12" s="138"/>
    </row>
    <row r="13" spans="1:21" ht="12.75">
      <c r="A13" s="10"/>
      <c r="B13" s="10"/>
      <c r="C13" s="10"/>
      <c r="D13" s="10"/>
      <c r="E13" s="10"/>
      <c r="F13" s="10"/>
      <c r="G13" s="10"/>
      <c r="H13" s="10"/>
      <c r="I13" s="10"/>
      <c r="K13" s="10"/>
      <c r="L13" s="10"/>
      <c r="M13" s="10"/>
      <c r="N13" s="10"/>
      <c r="O13" s="148"/>
      <c r="P13" s="10"/>
      <c r="Q13" s="10"/>
      <c r="R13" s="10"/>
      <c r="S13" s="10"/>
      <c r="U13" s="138"/>
    </row>
    <row r="14" spans="1:2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8"/>
      <c r="P14" s="10"/>
      <c r="Q14" s="10"/>
      <c r="R14" s="10"/>
      <c r="S14" s="10"/>
      <c r="U14" s="138"/>
    </row>
    <row r="15" spans="1:2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138"/>
    </row>
  </sheetData>
  <printOptions gridLines="1"/>
  <pageMargins left="0.25" right="0.25" top="1" bottom="0.55" header="0.5" footer="0.25"/>
  <pageSetup fitToHeight="1" fitToWidth="1" horizontalDpi="600" verticalDpi="600" orientation="landscape" scale="91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W76"/>
  <sheetViews>
    <sheetView zoomScale="75" zoomScaleNormal="75" workbookViewId="0" topLeftCell="A1">
      <selection activeCell="T8" sqref="T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bestFit="1" customWidth="1"/>
    <col min="10" max="11" width="8.00390625" style="0" bestFit="1" customWidth="1"/>
    <col min="12" max="14" width="8.00390625" style="0" customWidth="1"/>
    <col min="16" max="16" width="7.57421875" style="0" bestFit="1" customWidth="1"/>
    <col min="17" max="17" width="11.00390625" style="0" bestFit="1" customWidth="1"/>
    <col min="19" max="19" width="10.7109375" style="0" bestFit="1" customWidth="1"/>
    <col min="20" max="20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457</v>
      </c>
      <c r="O3" s="56">
        <v>8</v>
      </c>
      <c r="P3" s="9"/>
      <c r="U3" s="1" t="s">
        <v>434</v>
      </c>
    </row>
    <row r="4" spans="2:21" ht="12.75">
      <c r="B4" s="3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1" ht="12.75">
      <c r="A7" t="s">
        <v>216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1:21" ht="12.75">
      <c r="A8" t="s">
        <v>220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61632</v>
      </c>
      <c r="N8" s="2">
        <v>71277</v>
      </c>
      <c r="O8" s="2">
        <v>36639</v>
      </c>
      <c r="P8" s="2">
        <v>71277</v>
      </c>
      <c r="Q8" s="2">
        <v>71277</v>
      </c>
      <c r="R8" s="2">
        <v>68720</v>
      </c>
      <c r="S8" s="2">
        <v>68720</v>
      </c>
      <c r="T8" s="2">
        <v>68720</v>
      </c>
      <c r="U8" s="89">
        <f>(T8-Q8)/Q8</f>
        <v>-0.035874124893022996</v>
      </c>
    </row>
    <row r="9" spans="1:21" ht="12.75">
      <c r="A9" t="s">
        <v>1081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500</v>
      </c>
      <c r="Q9" s="2"/>
      <c r="R9" s="2"/>
      <c r="S9" s="2"/>
      <c r="T9" s="2"/>
      <c r="U9" s="89"/>
    </row>
    <row r="10" spans="1:21" ht="12.75">
      <c r="A10" t="s">
        <v>908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2">
        <v>12063</v>
      </c>
      <c r="M10" s="2"/>
      <c r="N10" s="2"/>
      <c r="O10" s="2"/>
      <c r="P10" s="2"/>
      <c r="Q10" s="2"/>
      <c r="R10" s="5"/>
      <c r="S10" s="5"/>
      <c r="T10" s="5"/>
      <c r="U10" s="51"/>
    </row>
    <row r="11" spans="2:21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1"/>
    </row>
    <row r="12" spans="1:21" ht="12.75">
      <c r="A12" s="6" t="s">
        <v>119</v>
      </c>
      <c r="B12" s="6"/>
      <c r="C12" s="7">
        <f>SUM(C7:C8)</f>
        <v>43231</v>
      </c>
      <c r="D12" s="8">
        <f>SUM(D7:D8)</f>
        <v>44080</v>
      </c>
      <c r="E12" s="8">
        <f>SUM(E7:E11)</f>
        <v>43893</v>
      </c>
      <c r="F12" s="8">
        <f>SUM(F7:F11)</f>
        <v>57786</v>
      </c>
      <c r="G12" s="8">
        <f>SUM(G7:G11)</f>
        <v>51974</v>
      </c>
      <c r="H12" s="8">
        <f>SUM(H7:H11)</f>
        <v>51014</v>
      </c>
      <c r="I12" s="8">
        <f>SUM(I7:I11)</f>
        <v>50190</v>
      </c>
      <c r="J12" s="8">
        <v>36375</v>
      </c>
      <c r="K12" s="8">
        <v>48250</v>
      </c>
      <c r="L12" s="8">
        <v>67712</v>
      </c>
      <c r="M12" s="8">
        <v>61632</v>
      </c>
      <c r="N12" s="8">
        <v>71277</v>
      </c>
      <c r="O12" s="8">
        <f aca="true" t="shared" si="0" ref="O12:T12">SUM(O7:O11)</f>
        <v>36639</v>
      </c>
      <c r="P12" s="8">
        <f t="shared" si="0"/>
        <v>71777</v>
      </c>
      <c r="Q12" s="8">
        <f t="shared" si="0"/>
        <v>71277</v>
      </c>
      <c r="R12" s="8">
        <f t="shared" si="0"/>
        <v>68720</v>
      </c>
      <c r="S12" s="8">
        <f t="shared" si="0"/>
        <v>68720</v>
      </c>
      <c r="T12" s="8">
        <f t="shared" si="0"/>
        <v>68720</v>
      </c>
      <c r="U12" s="52">
        <f>(T12-Q12)/Q12</f>
        <v>-0.035874124893022996</v>
      </c>
    </row>
    <row r="13" ht="12.75">
      <c r="U13" s="51"/>
    </row>
    <row r="14" spans="17:21" ht="12.75">
      <c r="Q14" s="22" t="s">
        <v>484</v>
      </c>
      <c r="R14" s="22"/>
      <c r="S14" s="55">
        <f>R12-S12</f>
        <v>0</v>
      </c>
      <c r="U14" s="51"/>
    </row>
    <row r="15" spans="1:21" ht="12.75">
      <c r="A15" s="6" t="s">
        <v>1037</v>
      </c>
      <c r="Q15" s="22" t="s">
        <v>725</v>
      </c>
      <c r="R15" s="22"/>
      <c r="S15" s="55">
        <f>Q12-S12</f>
        <v>2557</v>
      </c>
      <c r="U15" s="51"/>
    </row>
    <row r="16" spans="17:21" ht="12.75">
      <c r="Q16" s="22" t="s">
        <v>432</v>
      </c>
      <c r="R16" s="22"/>
      <c r="S16" s="55">
        <f>S12-T12</f>
        <v>0</v>
      </c>
      <c r="U16" s="51"/>
    </row>
    <row r="17" spans="1:21" ht="12.75">
      <c r="A17" s="33"/>
      <c r="U17" s="51"/>
    </row>
    <row r="18" spans="1:21" ht="12.75">
      <c r="A18" s="6"/>
      <c r="U18" s="51"/>
    </row>
    <row r="19" spans="21:23" ht="12.75">
      <c r="U19" s="51"/>
      <c r="W19" t="s">
        <v>649</v>
      </c>
    </row>
    <row r="20" spans="20:21" ht="12.75">
      <c r="T20" s="2"/>
      <c r="U20" s="51"/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56" ht="12.75">
      <c r="S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2"/>
  <headerFooter alignWithMargins="0">
    <oddFooter>&amp;L&amp;F
&amp;A&amp;CPage &amp;P of &amp;N&amp;R&amp;D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W80"/>
  <sheetViews>
    <sheetView zoomScale="75" zoomScaleNormal="75" workbookViewId="0" topLeftCell="A1">
      <selection activeCell="X10" sqref="X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10" width="6.421875" style="0" hidden="1" customWidth="1"/>
    <col min="11" max="11" width="7.7109375" style="0" hidden="1" customWidth="1"/>
    <col min="12" max="14" width="7.7109375" style="0" customWidth="1"/>
    <col min="15" max="15" width="7.57421875" style="0" bestFit="1" customWidth="1"/>
    <col min="16" max="16" width="8.00390625" style="0" bestFit="1" customWidth="1"/>
    <col min="17" max="17" width="8.57421875" style="0" customWidth="1"/>
    <col min="18" max="18" width="9.28125" style="0" customWidth="1"/>
    <col min="19" max="19" width="11.00390625" style="0" bestFit="1" customWidth="1"/>
    <col min="20" max="20" width="8.710937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458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s="22" t="s">
        <v>652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1811</v>
      </c>
      <c r="N7" s="2">
        <v>236</v>
      </c>
      <c r="O7" s="2">
        <v>15403</v>
      </c>
      <c r="P7" s="2">
        <f>+O7/$O$3*12</f>
        <v>23104.5</v>
      </c>
      <c r="Q7" s="2">
        <v>6000</v>
      </c>
      <c r="R7" s="2">
        <v>5000</v>
      </c>
      <c r="S7" s="2">
        <v>5000</v>
      </c>
      <c r="T7" s="2">
        <v>5000</v>
      </c>
      <c r="U7" s="89">
        <f>(T7-Q7)/Q7</f>
        <v>-0.16666666666666666</v>
      </c>
    </row>
    <row r="8" spans="1:21" ht="12.75">
      <c r="A8" t="s">
        <v>154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/>
      <c r="O8" s="2">
        <v>125</v>
      </c>
      <c r="P8" s="2">
        <f aca="true" t="shared" si="0" ref="P8:P16">+O8/$O$3*12</f>
        <v>187.5</v>
      </c>
      <c r="Q8" s="2"/>
      <c r="R8" s="2"/>
      <c r="S8" s="2"/>
      <c r="T8" s="2"/>
      <c r="U8" s="89"/>
    </row>
    <row r="9" spans="1:21" ht="12.75">
      <c r="A9" t="s">
        <v>141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139</v>
      </c>
      <c r="N9" s="2">
        <v>18</v>
      </c>
      <c r="O9" s="2">
        <v>1188</v>
      </c>
      <c r="P9" s="2">
        <f t="shared" si="0"/>
        <v>1782</v>
      </c>
      <c r="Q9" s="2">
        <f>(Q7+Q14)*0.0765</f>
        <v>1224</v>
      </c>
      <c r="R9" s="2">
        <f>(R7+R14)*0.0765</f>
        <v>994.5</v>
      </c>
      <c r="S9" s="2">
        <f>(S7+S14)*0.0765</f>
        <v>994.5</v>
      </c>
      <c r="T9" s="2">
        <f>(T7+T14)*0.0765</f>
        <v>994.5</v>
      </c>
      <c r="U9" s="89">
        <f>(T9-Q9)/Q9</f>
        <v>-0.1875</v>
      </c>
    </row>
    <row r="10" spans="1:21" ht="12.75">
      <c r="A10" t="s">
        <v>1018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100</v>
      </c>
      <c r="P10" s="2">
        <v>100</v>
      </c>
      <c r="Q10" s="2">
        <v>100</v>
      </c>
      <c r="R10" s="2">
        <v>100</v>
      </c>
      <c r="S10" s="2">
        <v>100</v>
      </c>
      <c r="T10" s="2">
        <v>100</v>
      </c>
      <c r="U10" s="89"/>
    </row>
    <row r="11" spans="1:21" ht="12.75">
      <c r="A11" t="s">
        <v>143</v>
      </c>
      <c r="B11" s="4">
        <v>52.32</v>
      </c>
      <c r="C11" s="2"/>
      <c r="D11" s="2"/>
      <c r="E11" s="2"/>
      <c r="F11" s="2"/>
      <c r="G11" s="2">
        <v>35</v>
      </c>
      <c r="H11" s="2">
        <v>43</v>
      </c>
      <c r="I11" s="2"/>
      <c r="J11" s="2">
        <v>56</v>
      </c>
      <c r="K11" s="2">
        <v>196</v>
      </c>
      <c r="L11" s="2">
        <v>378</v>
      </c>
      <c r="M11" s="2">
        <v>112</v>
      </c>
      <c r="N11" s="2"/>
      <c r="O11" s="2"/>
      <c r="P11" s="2">
        <f t="shared" si="0"/>
        <v>0</v>
      </c>
      <c r="Q11" s="2">
        <v>200</v>
      </c>
      <c r="R11" s="2">
        <v>200</v>
      </c>
      <c r="S11" s="2"/>
      <c r="T11" s="2"/>
      <c r="U11" s="89"/>
    </row>
    <row r="12" spans="1:21" ht="12.75">
      <c r="A12" t="s">
        <v>144</v>
      </c>
      <c r="B12" s="4">
        <v>52.321</v>
      </c>
      <c r="C12" s="2">
        <v>9</v>
      </c>
      <c r="D12" s="2">
        <v>284</v>
      </c>
      <c r="E12" s="2">
        <v>70</v>
      </c>
      <c r="F12" s="2">
        <v>100</v>
      </c>
      <c r="G12" s="2">
        <v>2849</v>
      </c>
      <c r="H12" s="2">
        <v>230</v>
      </c>
      <c r="I12" s="2">
        <v>583</v>
      </c>
      <c r="J12" s="2">
        <v>394</v>
      </c>
      <c r="K12" s="2">
        <v>1804</v>
      </c>
      <c r="L12" s="2">
        <v>1643</v>
      </c>
      <c r="M12" s="2">
        <v>811</v>
      </c>
      <c r="N12" s="2">
        <v>70</v>
      </c>
      <c r="O12" s="2">
        <v>8588</v>
      </c>
      <c r="P12" s="2">
        <f t="shared" si="0"/>
        <v>12882</v>
      </c>
      <c r="Q12" s="2">
        <v>4000</v>
      </c>
      <c r="R12" s="2">
        <v>8000</v>
      </c>
      <c r="S12" s="2">
        <v>4000</v>
      </c>
      <c r="T12" s="2">
        <v>4000</v>
      </c>
      <c r="U12" s="89">
        <f>(T12-Q12)/Q12</f>
        <v>0</v>
      </c>
    </row>
    <row r="13" spans="1:21" ht="12.75">
      <c r="A13" t="s">
        <v>156</v>
      </c>
      <c r="B13" s="4">
        <v>52.35</v>
      </c>
      <c r="C13" s="2">
        <v>1730</v>
      </c>
      <c r="D13" s="2">
        <v>2964</v>
      </c>
      <c r="E13" s="2">
        <v>377</v>
      </c>
      <c r="F13" s="2">
        <v>1227</v>
      </c>
      <c r="G13" s="2">
        <v>1918</v>
      </c>
      <c r="H13" s="2">
        <v>2765</v>
      </c>
      <c r="I13" s="2">
        <v>1530</v>
      </c>
      <c r="J13" s="2">
        <v>2835</v>
      </c>
      <c r="K13" s="2">
        <v>1960</v>
      </c>
      <c r="L13" s="2">
        <f>1801+80</f>
        <v>1881</v>
      </c>
      <c r="M13" s="2">
        <v>1245</v>
      </c>
      <c r="N13" s="2">
        <v>1626</v>
      </c>
      <c r="O13" s="2">
        <v>575</v>
      </c>
      <c r="P13" s="2">
        <f t="shared" si="0"/>
        <v>862.5</v>
      </c>
      <c r="Q13" s="2">
        <v>1500</v>
      </c>
      <c r="R13" s="2">
        <v>2000</v>
      </c>
      <c r="S13" s="2">
        <v>1500</v>
      </c>
      <c r="T13" s="2">
        <v>1500</v>
      </c>
      <c r="U13" s="89">
        <f>(T13-Q13)/Q13</f>
        <v>0</v>
      </c>
    </row>
    <row r="14" spans="1:21" ht="12.75">
      <c r="A14" t="s">
        <v>973</v>
      </c>
      <c r="B14" s="4">
        <v>52.362</v>
      </c>
      <c r="C14" s="2"/>
      <c r="D14" s="2"/>
      <c r="E14" s="2"/>
      <c r="F14" s="2">
        <v>1532</v>
      </c>
      <c r="G14" s="2">
        <v>9071</v>
      </c>
      <c r="H14" s="2">
        <v>3233</v>
      </c>
      <c r="I14" s="2">
        <v>24</v>
      </c>
      <c r="J14" s="2">
        <v>2500</v>
      </c>
      <c r="K14" s="2">
        <v>6350</v>
      </c>
      <c r="L14" s="2">
        <v>195</v>
      </c>
      <c r="M14" s="2">
        <v>2725</v>
      </c>
      <c r="N14" s="2">
        <v>975</v>
      </c>
      <c r="O14" s="2">
        <v>14025</v>
      </c>
      <c r="P14" s="2">
        <f t="shared" si="0"/>
        <v>21037.5</v>
      </c>
      <c r="Q14" s="2">
        <v>10000</v>
      </c>
      <c r="R14" s="2">
        <v>8000</v>
      </c>
      <c r="S14" s="2">
        <v>8000</v>
      </c>
      <c r="T14" s="2">
        <v>8000</v>
      </c>
      <c r="U14" s="89"/>
    </row>
    <row r="15" spans="1:21" ht="12.75">
      <c r="A15" t="s">
        <v>558</v>
      </c>
      <c r="B15" s="4">
        <v>52.37</v>
      </c>
      <c r="C15" s="2"/>
      <c r="D15" s="2"/>
      <c r="E15" s="2"/>
      <c r="F15" s="2"/>
      <c r="G15" s="2">
        <v>60</v>
      </c>
      <c r="H15" s="2">
        <v>240</v>
      </c>
      <c r="I15" s="2"/>
      <c r="J15" s="2">
        <v>285</v>
      </c>
      <c r="K15" s="2">
        <v>298</v>
      </c>
      <c r="L15" s="2">
        <v>3000</v>
      </c>
      <c r="M15" s="2">
        <v>120</v>
      </c>
      <c r="N15" s="2">
        <v>165</v>
      </c>
      <c r="O15" s="2">
        <v>300</v>
      </c>
      <c r="P15" s="2">
        <f t="shared" si="0"/>
        <v>450</v>
      </c>
      <c r="Q15" s="2">
        <v>500</v>
      </c>
      <c r="R15" s="2">
        <v>1000</v>
      </c>
      <c r="S15" s="2">
        <v>500</v>
      </c>
      <c r="T15" s="2">
        <v>500</v>
      </c>
      <c r="U15" s="89"/>
    </row>
    <row r="16" spans="1:21" ht="12.75">
      <c r="A16" t="s">
        <v>151</v>
      </c>
      <c r="B16" s="4">
        <v>53.171</v>
      </c>
      <c r="C16" s="2">
        <v>14</v>
      </c>
      <c r="D16" s="2">
        <v>107</v>
      </c>
      <c r="E16" s="2"/>
      <c r="F16" s="2">
        <v>15</v>
      </c>
      <c r="G16" s="2">
        <v>380</v>
      </c>
      <c r="H16" s="2">
        <v>50</v>
      </c>
      <c r="I16" s="2">
        <v>12</v>
      </c>
      <c r="J16" s="2">
        <v>27</v>
      </c>
      <c r="K16" s="2">
        <v>48</v>
      </c>
      <c r="L16" s="2">
        <v>45</v>
      </c>
      <c r="M16" s="2"/>
      <c r="N16" s="2">
        <v>21</v>
      </c>
      <c r="O16" s="2">
        <v>485</v>
      </c>
      <c r="P16" s="2">
        <f t="shared" si="0"/>
        <v>727.5</v>
      </c>
      <c r="Q16" s="2">
        <v>50</v>
      </c>
      <c r="R16" s="2">
        <v>1000</v>
      </c>
      <c r="S16" s="2">
        <v>200</v>
      </c>
      <c r="T16" s="2">
        <v>200</v>
      </c>
      <c r="U16" s="89">
        <f>(T16-Q16)/Q16</f>
        <v>3</v>
      </c>
    </row>
    <row r="17" spans="2:21" ht="12.7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1"/>
    </row>
    <row r="18" spans="1:21" ht="12.75">
      <c r="A18" s="6" t="s">
        <v>119</v>
      </c>
      <c r="B18" s="6"/>
      <c r="C18" s="7">
        <f>SUM(C7:C16)</f>
        <v>2213</v>
      </c>
      <c r="D18" s="8">
        <f>SUM(D7:D16)</f>
        <v>4077</v>
      </c>
      <c r="E18" s="8">
        <f>SUM(E7:E17)</f>
        <v>447</v>
      </c>
      <c r="F18" s="8">
        <f>SUM(F7:F17)</f>
        <v>2874</v>
      </c>
      <c r="G18" s="8">
        <f>SUM(G7:G17)</f>
        <v>18794</v>
      </c>
      <c r="H18" s="8">
        <f>SUM(H7:H17)</f>
        <v>7095</v>
      </c>
      <c r="I18" s="8">
        <f>SUM(I7:I17)</f>
        <v>2461</v>
      </c>
      <c r="J18" s="8">
        <v>7550</v>
      </c>
      <c r="K18" s="8">
        <f aca="true" t="shared" si="1" ref="K18:T18">SUM(K7:K17)</f>
        <v>16307</v>
      </c>
      <c r="L18" s="8">
        <v>11865</v>
      </c>
      <c r="M18" s="8">
        <v>6963</v>
      </c>
      <c r="N18" s="8">
        <v>3111</v>
      </c>
      <c r="O18" s="8">
        <f t="shared" si="1"/>
        <v>40789</v>
      </c>
      <c r="P18" s="8">
        <f t="shared" si="1"/>
        <v>61133.5</v>
      </c>
      <c r="Q18" s="8">
        <f t="shared" si="1"/>
        <v>23574</v>
      </c>
      <c r="R18" s="8">
        <f t="shared" si="1"/>
        <v>26294.5</v>
      </c>
      <c r="S18" s="8">
        <f t="shared" si="1"/>
        <v>20294.5</v>
      </c>
      <c r="T18" s="8">
        <f t="shared" si="1"/>
        <v>20294.5</v>
      </c>
      <c r="U18" s="93">
        <f>(T18-Q18)/Q18</f>
        <v>-0.13911512683464833</v>
      </c>
    </row>
    <row r="19" ht="12.75">
      <c r="U19" s="51"/>
    </row>
    <row r="20" spans="18:21" ht="12.75">
      <c r="R20" s="128" t="s">
        <v>484</v>
      </c>
      <c r="S20" s="55">
        <f>R18-S18</f>
        <v>6000</v>
      </c>
      <c r="U20" s="51"/>
    </row>
    <row r="21" spans="18:23" ht="12.75">
      <c r="R21" s="128" t="s">
        <v>725</v>
      </c>
      <c r="S21" s="55">
        <f>Q18-S18</f>
        <v>3279.5</v>
      </c>
      <c r="U21" s="51"/>
      <c r="W21" t="s">
        <v>649</v>
      </c>
    </row>
    <row r="22" spans="18:21" ht="12.75">
      <c r="R22" s="128" t="s">
        <v>432</v>
      </c>
      <c r="S22" s="55">
        <f>S18-T18</f>
        <v>0</v>
      </c>
      <c r="U22" s="51"/>
    </row>
    <row r="23" ht="12.75">
      <c r="U23" s="51"/>
    </row>
    <row r="24" ht="12.75">
      <c r="U24" s="51"/>
    </row>
    <row r="25" spans="1:21" ht="12.75">
      <c r="A25" s="6" t="s">
        <v>1038</v>
      </c>
      <c r="U25" s="51"/>
    </row>
    <row r="26" spans="1:21" ht="12.75">
      <c r="A26" s="6" t="s">
        <v>1039</v>
      </c>
      <c r="U26" s="51"/>
    </row>
    <row r="27" spans="1:21" ht="12.75">
      <c r="A27" s="6"/>
      <c r="U27" s="51"/>
    </row>
    <row r="28" spans="1:21" ht="12.75">
      <c r="A28" s="6"/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Z117"/>
  <sheetViews>
    <sheetView zoomScale="75" zoomScaleNormal="75" workbookViewId="0" topLeftCell="A2">
      <pane ySplit="1155" topLeftCell="BM1" activePane="bottomLeft" state="split"/>
      <selection pane="topLeft" activeCell="O3" sqref="O3"/>
      <selection pane="bottomLeft" activeCell="A12" sqref="A12:IV12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11" width="10.421875" style="0" hidden="1" customWidth="1"/>
    <col min="12" max="14" width="10.421875" style="0" customWidth="1"/>
    <col min="15" max="15" width="10.421875" style="0" bestFit="1" customWidth="1"/>
    <col min="16" max="16" width="10.8515625" style="0" bestFit="1" customWidth="1"/>
    <col min="17" max="17" width="11.00390625" style="0" bestFit="1" customWidth="1"/>
    <col min="18" max="18" width="10.00390625" style="0" customWidth="1"/>
    <col min="19" max="20" width="10.8515625" style="0" bestFit="1" customWidth="1"/>
    <col min="21" max="21" width="8.57421875" style="0" customWidth="1"/>
    <col min="22" max="22" width="11.7109375" style="0" customWidth="1"/>
  </cols>
  <sheetData>
    <row r="1" ht="12.75">
      <c r="A1" t="s">
        <v>109</v>
      </c>
    </row>
    <row r="2" spans="1:17" ht="12.75">
      <c r="A2" t="s">
        <v>110</v>
      </c>
      <c r="P2" s="159"/>
      <c r="Q2" s="159"/>
    </row>
    <row r="3" spans="1:21" ht="12.75">
      <c r="A3" s="6" t="s">
        <v>459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s="60" t="s">
        <v>121</v>
      </c>
      <c r="B6" s="60"/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6" ht="12.75">
      <c r="A7" s="22" t="s">
        <v>652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902913</v>
      </c>
      <c r="N7" s="2">
        <v>918766</v>
      </c>
      <c r="O7" s="2">
        <v>703869</v>
      </c>
      <c r="P7" s="2">
        <f>+O7/$O$3*12</f>
        <v>938492</v>
      </c>
      <c r="Q7" s="20">
        <v>1017132.51</v>
      </c>
      <c r="R7" s="20">
        <v>1047605</v>
      </c>
      <c r="S7" s="20">
        <v>1047605</v>
      </c>
      <c r="T7" s="20">
        <v>1047605</v>
      </c>
      <c r="U7" s="89">
        <f aca="true" t="shared" si="0" ref="U7:U14">(T7-Q7)/Q7</f>
        <v>0.029959213475538198</v>
      </c>
      <c r="V7" s="20" t="s">
        <v>372</v>
      </c>
      <c r="X7" s="173"/>
      <c r="Y7" s="159"/>
      <c r="Z7" s="173"/>
    </row>
    <row r="8" spans="1:22" ht="12.75">
      <c r="A8" t="s">
        <v>641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71803</v>
      </c>
      <c r="N8" s="2">
        <v>64576</v>
      </c>
      <c r="O8" s="2">
        <v>22493</v>
      </c>
      <c r="P8" s="2">
        <f>+O8/$O$3*12</f>
        <v>29990.666666666664</v>
      </c>
      <c r="Q8" s="2">
        <v>40000</v>
      </c>
      <c r="R8" s="2">
        <v>40000</v>
      </c>
      <c r="S8" s="2">
        <v>40000</v>
      </c>
      <c r="T8" s="2">
        <v>40000</v>
      </c>
      <c r="U8" s="89">
        <f t="shared" si="0"/>
        <v>0</v>
      </c>
      <c r="V8" s="2"/>
    </row>
    <row r="9" spans="1:22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6565</v>
      </c>
      <c r="N9" s="2">
        <v>6439</v>
      </c>
      <c r="O9" s="2"/>
      <c r="P9" s="2">
        <v>9500</v>
      </c>
      <c r="Q9" s="2">
        <v>9500</v>
      </c>
      <c r="R9" s="2">
        <v>9500</v>
      </c>
      <c r="S9" s="2">
        <v>9500</v>
      </c>
      <c r="T9" s="2">
        <v>9500</v>
      </c>
      <c r="U9" s="89">
        <f t="shared" si="0"/>
        <v>0</v>
      </c>
      <c r="V9" s="2"/>
    </row>
    <row r="10" spans="1:21" ht="12.75">
      <c r="A10" t="s">
        <v>154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34993</v>
      </c>
      <c r="N10" s="2">
        <v>39419</v>
      </c>
      <c r="O10" s="2">
        <v>31919</v>
      </c>
      <c r="P10" s="2">
        <f>+O10/$O$3*12</f>
        <v>42558.66666666667</v>
      </c>
      <c r="Q10" s="2">
        <v>40000</v>
      </c>
      <c r="R10" s="2">
        <v>40000</v>
      </c>
      <c r="S10" s="2">
        <v>40000</v>
      </c>
      <c r="T10" s="2">
        <v>40000</v>
      </c>
      <c r="U10" s="89">
        <f t="shared" si="0"/>
        <v>0</v>
      </c>
    </row>
    <row r="11" spans="1:22" ht="12.75">
      <c r="A11" t="s">
        <v>882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99993</v>
      </c>
      <c r="N11" s="2">
        <v>99112</v>
      </c>
      <c r="O11" s="2">
        <v>76457</v>
      </c>
      <c r="P11" s="2">
        <f>+O11/$O$3*12</f>
        <v>101942.66666666667</v>
      </c>
      <c r="Q11" s="31">
        <v>128960</v>
      </c>
      <c r="R11" s="31">
        <v>144477</v>
      </c>
      <c r="S11" s="31">
        <f>27*5351</f>
        <v>144477</v>
      </c>
      <c r="T11" s="31">
        <f>27*5351</f>
        <v>144477</v>
      </c>
      <c r="U11" s="89">
        <f t="shared" si="0"/>
        <v>0.12032413151364764</v>
      </c>
      <c r="V11" s="33" t="s">
        <v>510</v>
      </c>
    </row>
    <row r="12" spans="1:22" s="22" customFormat="1" ht="12.75">
      <c r="A12" s="22" t="s">
        <v>351</v>
      </c>
      <c r="B12" s="48">
        <v>51.211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  <c r="P12" s="31"/>
      <c r="Q12" s="31"/>
      <c r="R12" s="31">
        <v>4800</v>
      </c>
      <c r="S12" s="31">
        <v>4800</v>
      </c>
      <c r="T12" s="31">
        <v>4800</v>
      </c>
      <c r="U12" s="51"/>
      <c r="V12" s="22" t="s">
        <v>579</v>
      </c>
    </row>
    <row r="13" spans="1:23" ht="12.75">
      <c r="A13" t="s">
        <v>141</v>
      </c>
      <c r="B13" s="4">
        <v>51.22</v>
      </c>
      <c r="C13" s="2">
        <v>47775</v>
      </c>
      <c r="D13" s="2">
        <v>49989</v>
      </c>
      <c r="E13" s="2">
        <v>48967</v>
      </c>
      <c r="F13" s="2">
        <v>57540</v>
      </c>
      <c r="G13" s="2">
        <v>59043</v>
      </c>
      <c r="H13" s="2">
        <v>60145</v>
      </c>
      <c r="I13" s="2">
        <v>63386</v>
      </c>
      <c r="J13" s="2">
        <v>70661</v>
      </c>
      <c r="K13" s="2">
        <v>71288</v>
      </c>
      <c r="L13" s="2">
        <v>74865.89</v>
      </c>
      <c r="M13" s="2">
        <v>75155</v>
      </c>
      <c r="N13" s="2">
        <v>76064</v>
      </c>
      <c r="O13" s="2">
        <v>56355</v>
      </c>
      <c r="P13" s="2">
        <f>+O13/$O$3*12</f>
        <v>75140</v>
      </c>
      <c r="Q13" s="20">
        <f>(Q7+Q8+Q9+Q10)*0.0765</f>
        <v>84657.387015</v>
      </c>
      <c r="R13" s="20">
        <f>(R7+R8+R9+R10)*0.0765</f>
        <v>86988.5325</v>
      </c>
      <c r="S13" s="20">
        <f>(S7+S8+S9+S10)*0.0765</f>
        <v>86988.5325</v>
      </c>
      <c r="T13" s="20">
        <f>(T7+T8+T9+T10)*0.0765</f>
        <v>86988.5325</v>
      </c>
      <c r="U13" s="89">
        <f t="shared" si="0"/>
        <v>0.027536232421004884</v>
      </c>
      <c r="V13" s="33"/>
      <c r="W13" s="6"/>
    </row>
    <row r="14" spans="1:21" ht="12.75">
      <c r="A14" t="s">
        <v>155</v>
      </c>
      <c r="B14" s="4">
        <v>51.24</v>
      </c>
      <c r="C14" s="2">
        <v>8950</v>
      </c>
      <c r="D14" s="2">
        <v>9373</v>
      </c>
      <c r="E14" s="2">
        <v>6541</v>
      </c>
      <c r="F14" s="2">
        <v>6369</v>
      </c>
      <c r="G14" s="2">
        <v>7292</v>
      </c>
      <c r="H14" s="2">
        <v>7471</v>
      </c>
      <c r="I14" s="2">
        <v>9256</v>
      </c>
      <c r="J14" s="2">
        <v>12280</v>
      </c>
      <c r="K14" s="2">
        <v>14073</v>
      </c>
      <c r="L14" s="2">
        <v>14770</v>
      </c>
      <c r="M14" s="2">
        <v>4798</v>
      </c>
      <c r="N14" s="2">
        <v>13342</v>
      </c>
      <c r="O14" s="2">
        <v>10198</v>
      </c>
      <c r="P14" s="2">
        <f>+O14/$O$3*12</f>
        <v>13597.333333333332</v>
      </c>
      <c r="Q14" s="2">
        <v>12000</v>
      </c>
      <c r="R14" s="2">
        <v>15000</v>
      </c>
      <c r="S14" s="2">
        <v>15000</v>
      </c>
      <c r="T14" s="2">
        <v>15000</v>
      </c>
      <c r="U14" s="89">
        <f t="shared" si="0"/>
        <v>0.25</v>
      </c>
    </row>
    <row r="15" spans="1:21" ht="12.75">
      <c r="A15" t="s">
        <v>705</v>
      </c>
      <c r="B15" s="4">
        <v>51.26</v>
      </c>
      <c r="C15" s="2"/>
      <c r="D15" s="2"/>
      <c r="E15" s="2"/>
      <c r="F15" s="2"/>
      <c r="G15" s="2"/>
      <c r="H15" s="2"/>
      <c r="I15" s="2"/>
      <c r="J15" s="2"/>
      <c r="K15" s="2">
        <v>271</v>
      </c>
      <c r="L15" s="2">
        <v>2880</v>
      </c>
      <c r="M15" s="2"/>
      <c r="N15" s="2">
        <v>8580</v>
      </c>
      <c r="O15" s="2"/>
      <c r="P15" s="2">
        <f>+O15/$O$3*12</f>
        <v>0</v>
      </c>
      <c r="Q15" s="2"/>
      <c r="R15" s="2"/>
      <c r="S15" s="2"/>
      <c r="T15" s="2"/>
      <c r="U15" s="89"/>
    </row>
    <row r="16" spans="1:21" ht="12.75">
      <c r="A16" t="s">
        <v>1018</v>
      </c>
      <c r="B16" s="4">
        <v>51.27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34589</v>
      </c>
      <c r="P16" s="2">
        <v>35644</v>
      </c>
      <c r="Q16" s="2">
        <v>35644</v>
      </c>
      <c r="R16" s="2">
        <v>36000</v>
      </c>
      <c r="S16" s="2">
        <v>36000</v>
      </c>
      <c r="T16" s="2">
        <v>36000</v>
      </c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2" ht="12.75">
      <c r="A18" t="s">
        <v>748</v>
      </c>
      <c r="B18" s="4">
        <v>52.1207</v>
      </c>
      <c r="C18" s="2"/>
      <c r="D18" s="2"/>
      <c r="E18" s="2"/>
      <c r="F18" s="2"/>
      <c r="G18" s="2"/>
      <c r="H18" s="2"/>
      <c r="I18" s="2"/>
      <c r="J18" s="2"/>
      <c r="K18" s="2">
        <v>578</v>
      </c>
      <c r="L18" s="2"/>
      <c r="M18" s="2">
        <v>-50</v>
      </c>
      <c r="N18" s="2">
        <v>175</v>
      </c>
      <c r="O18" s="2">
        <v>50</v>
      </c>
      <c r="P18" s="2">
        <v>1000</v>
      </c>
      <c r="Q18" s="2">
        <v>1000</v>
      </c>
      <c r="R18" s="2">
        <v>1000</v>
      </c>
      <c r="S18" s="2">
        <v>200</v>
      </c>
      <c r="T18" s="2">
        <v>200</v>
      </c>
      <c r="U18" s="89"/>
      <c r="V18" t="s">
        <v>575</v>
      </c>
    </row>
    <row r="19" spans="1:21" ht="12.75">
      <c r="A19" t="s">
        <v>207</v>
      </c>
      <c r="B19" s="4">
        <v>52.121</v>
      </c>
      <c r="C19" s="2"/>
      <c r="D19" s="2"/>
      <c r="E19" s="2"/>
      <c r="F19" s="2"/>
      <c r="G19" s="2"/>
      <c r="H19" s="2"/>
      <c r="I19" s="2">
        <v>69</v>
      </c>
      <c r="J19" s="2">
        <v>875</v>
      </c>
      <c r="K19" s="2"/>
      <c r="L19" s="2"/>
      <c r="M19" s="2">
        <v>1615</v>
      </c>
      <c r="N19" s="2"/>
      <c r="O19" s="2">
        <v>2643</v>
      </c>
      <c r="P19" s="2">
        <v>1000</v>
      </c>
      <c r="Q19" s="2">
        <v>1000</v>
      </c>
      <c r="R19" s="2">
        <v>1000</v>
      </c>
      <c r="S19" s="2">
        <v>1000</v>
      </c>
      <c r="T19" s="2">
        <v>1000</v>
      </c>
      <c r="U19" s="89"/>
    </row>
    <row r="20" spans="1:21" ht="12.75">
      <c r="A20" t="s">
        <v>566</v>
      </c>
      <c r="B20" s="4">
        <v>52.1211</v>
      </c>
      <c r="C20" s="2"/>
      <c r="D20" s="2"/>
      <c r="E20" s="2"/>
      <c r="F20" s="2"/>
      <c r="G20" s="2"/>
      <c r="H20" s="2"/>
      <c r="I20" s="2"/>
      <c r="J20" s="2">
        <v>413</v>
      </c>
      <c r="K20" s="2">
        <v>1538</v>
      </c>
      <c r="L20" s="2">
        <v>250</v>
      </c>
      <c r="M20" s="2"/>
      <c r="N20" s="2"/>
      <c r="O20" s="2">
        <f>15535+2144</f>
        <v>17679</v>
      </c>
      <c r="P20" s="2">
        <v>30000</v>
      </c>
      <c r="Q20" s="2"/>
      <c r="R20" s="2"/>
      <c r="S20" s="2"/>
      <c r="T20" s="2"/>
      <c r="U20" s="89"/>
    </row>
    <row r="21" spans="1:21" ht="12.75">
      <c r="A21" t="s">
        <v>223</v>
      </c>
      <c r="B21" s="4">
        <v>52.1303</v>
      </c>
      <c r="C21" s="2"/>
      <c r="D21" s="2"/>
      <c r="E21" s="2">
        <v>210</v>
      </c>
      <c r="F21" s="2">
        <v>225</v>
      </c>
      <c r="G21" s="2">
        <v>225</v>
      </c>
      <c r="H21" s="2">
        <v>354</v>
      </c>
      <c r="I21" s="2">
        <v>260</v>
      </c>
      <c r="J21" s="2">
        <v>275</v>
      </c>
      <c r="K21" s="2">
        <v>300</v>
      </c>
      <c r="L21" s="2">
        <v>350</v>
      </c>
      <c r="M21" s="2">
        <v>350</v>
      </c>
      <c r="N21" s="2">
        <v>400</v>
      </c>
      <c r="O21" s="2">
        <v>456</v>
      </c>
      <c r="P21" s="2">
        <f aca="true" t="shared" si="1" ref="P21:P51">+O21/$O$3*12</f>
        <v>608</v>
      </c>
      <c r="Q21" s="2">
        <v>600</v>
      </c>
      <c r="R21" s="2">
        <v>600</v>
      </c>
      <c r="S21" s="2">
        <v>600</v>
      </c>
      <c r="T21" s="2">
        <v>600</v>
      </c>
      <c r="U21" s="89">
        <f>(T21-Q21)/Q21</f>
        <v>0</v>
      </c>
    </row>
    <row r="22" spans="1:22" ht="12.75" hidden="1">
      <c r="A22" t="s">
        <v>640</v>
      </c>
      <c r="B22" s="4">
        <v>52.1304</v>
      </c>
      <c r="C22" s="2">
        <v>10587</v>
      </c>
      <c r="D22" s="2">
        <v>11930</v>
      </c>
      <c r="E22" s="2">
        <v>2400</v>
      </c>
      <c r="F22" s="2">
        <v>3087</v>
      </c>
      <c r="G22" s="2">
        <v>2400</v>
      </c>
      <c r="H22" s="2">
        <v>2507</v>
      </c>
      <c r="I22" s="2">
        <v>2276</v>
      </c>
      <c r="J22" s="2">
        <v>4770</v>
      </c>
      <c r="K22" s="2"/>
      <c r="L22" s="2"/>
      <c r="M22" s="2"/>
      <c r="N22" s="2"/>
      <c r="O22" s="2"/>
      <c r="P22" s="2">
        <f t="shared" si="1"/>
        <v>0</v>
      </c>
      <c r="Q22" s="2"/>
      <c r="R22" s="2"/>
      <c r="S22" s="2"/>
      <c r="T22" s="2"/>
      <c r="U22" s="89" t="e">
        <f>(T22-Q22)/Q22</f>
        <v>#DIV/0!</v>
      </c>
      <c r="V22" t="s">
        <v>735</v>
      </c>
    </row>
    <row r="23" spans="1:21" ht="12.75">
      <c r="A23" t="s">
        <v>224</v>
      </c>
      <c r="B23" s="4">
        <v>52.1318</v>
      </c>
      <c r="C23" s="2">
        <v>2730</v>
      </c>
      <c r="D23" s="2">
        <v>1567</v>
      </c>
      <c r="E23" s="2">
        <v>2447</v>
      </c>
      <c r="F23" s="2">
        <v>5488</v>
      </c>
      <c r="G23" s="2">
        <v>3539</v>
      </c>
      <c r="H23" s="2">
        <v>3940</v>
      </c>
      <c r="I23" s="2">
        <v>3551</v>
      </c>
      <c r="J23" s="2">
        <v>5089</v>
      </c>
      <c r="K23" s="2">
        <v>3997</v>
      </c>
      <c r="L23" s="2">
        <v>2736</v>
      </c>
      <c r="M23" s="2">
        <v>1434</v>
      </c>
      <c r="N23" s="2">
        <v>3066</v>
      </c>
      <c r="O23" s="2">
        <v>1729</v>
      </c>
      <c r="P23" s="2">
        <v>2000</v>
      </c>
      <c r="Q23" s="2">
        <v>2800</v>
      </c>
      <c r="R23" s="2">
        <v>3000</v>
      </c>
      <c r="S23" s="2">
        <v>2000</v>
      </c>
      <c r="T23" s="2">
        <v>2000</v>
      </c>
      <c r="U23" s="89">
        <f>(T23-Q23)/Q23</f>
        <v>-0.2857142857142857</v>
      </c>
    </row>
    <row r="24" spans="1:21" ht="12.75">
      <c r="A24" t="s">
        <v>709</v>
      </c>
      <c r="B24" s="4">
        <v>52.1321</v>
      </c>
      <c r="C24" s="2"/>
      <c r="D24" s="2"/>
      <c r="E24" s="2"/>
      <c r="F24" s="2"/>
      <c r="G24" s="2"/>
      <c r="H24" s="2"/>
      <c r="I24" s="2"/>
      <c r="J24" s="2">
        <v>125</v>
      </c>
      <c r="K24" s="2">
        <v>123</v>
      </c>
      <c r="L24" s="2">
        <v>105</v>
      </c>
      <c r="M24" s="2"/>
      <c r="N24" s="2"/>
      <c r="O24" s="2"/>
      <c r="P24" s="2"/>
      <c r="Q24" s="2">
        <v>150</v>
      </c>
      <c r="R24" s="2">
        <v>250</v>
      </c>
      <c r="S24" s="2">
        <v>150</v>
      </c>
      <c r="T24" s="2">
        <v>150</v>
      </c>
      <c r="U24" s="89"/>
    </row>
    <row r="25" spans="1:21" ht="12.75" hidden="1">
      <c r="A25" t="s">
        <v>710</v>
      </c>
      <c r="B25" s="4">
        <v>52.2201</v>
      </c>
      <c r="C25" s="2"/>
      <c r="D25" s="2"/>
      <c r="E25" s="2"/>
      <c r="F25" s="2"/>
      <c r="G25" s="2"/>
      <c r="H25" s="2"/>
      <c r="I25" s="2"/>
      <c r="J25" s="2">
        <v>160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786</v>
      </c>
      <c r="B26" s="4">
        <v>52.2204</v>
      </c>
      <c r="C26" s="2"/>
      <c r="D26" s="2"/>
      <c r="E26" s="2">
        <v>1276</v>
      </c>
      <c r="F26" s="2">
        <v>577</v>
      </c>
      <c r="G26" s="2">
        <v>1588</v>
      </c>
      <c r="H26" s="2">
        <v>2360</v>
      </c>
      <c r="I26" s="2">
        <v>555</v>
      </c>
      <c r="J26" s="2">
        <f>89+990</f>
        <v>1079</v>
      </c>
      <c r="K26" s="2">
        <v>1097</v>
      </c>
      <c r="L26" s="2">
        <v>1079</v>
      </c>
      <c r="M26" s="2">
        <v>1147</v>
      </c>
      <c r="N26" s="2">
        <v>1140</v>
      </c>
      <c r="O26" s="2">
        <v>665</v>
      </c>
      <c r="P26" s="2">
        <f t="shared" si="1"/>
        <v>886.6666666666666</v>
      </c>
      <c r="Q26" s="2">
        <v>1140</v>
      </c>
      <c r="R26" s="2">
        <v>1500</v>
      </c>
      <c r="S26" s="2">
        <v>1140</v>
      </c>
      <c r="T26" s="2">
        <v>1140</v>
      </c>
      <c r="U26" s="89">
        <f>(T26-Q26)/Q26</f>
        <v>0</v>
      </c>
    </row>
    <row r="27" spans="1:21" ht="12.75">
      <c r="A27" t="s">
        <v>186</v>
      </c>
      <c r="B27" s="4">
        <v>52.2206</v>
      </c>
      <c r="C27" s="2">
        <v>6786</v>
      </c>
      <c r="D27" s="2">
        <v>2513</v>
      </c>
      <c r="E27" s="2">
        <v>5492</v>
      </c>
      <c r="F27" s="2">
        <v>2492</v>
      </c>
      <c r="G27" s="2">
        <v>1704</v>
      </c>
      <c r="H27" s="2">
        <v>2048</v>
      </c>
      <c r="I27" s="2">
        <v>2230</v>
      </c>
      <c r="J27" s="2">
        <v>1120</v>
      </c>
      <c r="K27" s="2">
        <v>4326</v>
      </c>
      <c r="L27" s="2">
        <f>3490+155</f>
        <v>3645</v>
      </c>
      <c r="M27" s="2">
        <v>3341</v>
      </c>
      <c r="N27" s="2">
        <v>7440</v>
      </c>
      <c r="O27" s="2">
        <v>11689</v>
      </c>
      <c r="P27" s="2">
        <f t="shared" si="1"/>
        <v>15585.333333333334</v>
      </c>
      <c r="Q27" s="2">
        <v>4500</v>
      </c>
      <c r="R27" s="2">
        <v>10000</v>
      </c>
      <c r="S27" s="2">
        <v>10000</v>
      </c>
      <c r="T27" s="2">
        <v>10000</v>
      </c>
      <c r="U27" s="89">
        <f>(T27-Q27)/Q27</f>
        <v>1.2222222222222223</v>
      </c>
    </row>
    <row r="28" spans="1:21" ht="12.75" hidden="1">
      <c r="A28" t="s">
        <v>225</v>
      </c>
      <c r="B28" s="4">
        <v>52.2322</v>
      </c>
      <c r="C28" s="2"/>
      <c r="D28" s="2"/>
      <c r="E28" s="2">
        <v>2000</v>
      </c>
      <c r="F28" s="2">
        <v>2400</v>
      </c>
      <c r="G28" s="2">
        <v>2400</v>
      </c>
      <c r="H28" s="2">
        <v>2200</v>
      </c>
      <c r="I28" s="2">
        <v>1404</v>
      </c>
      <c r="J28" s="2"/>
      <c r="K28" s="2"/>
      <c r="L28" s="2"/>
      <c r="M28" s="2"/>
      <c r="N28" s="2"/>
      <c r="O28" s="2"/>
      <c r="P28" s="2">
        <f t="shared" si="1"/>
        <v>0</v>
      </c>
      <c r="Q28" s="2"/>
      <c r="R28" s="2"/>
      <c r="S28" s="2"/>
      <c r="T28" s="2"/>
      <c r="U28" s="89"/>
    </row>
    <row r="29" spans="1:21" ht="12.75">
      <c r="A29" t="s">
        <v>143</v>
      </c>
      <c r="B29" s="4">
        <v>52.32</v>
      </c>
      <c r="C29" s="2">
        <v>16546</v>
      </c>
      <c r="D29" s="2">
        <v>12012</v>
      </c>
      <c r="E29" s="2">
        <v>12432</v>
      </c>
      <c r="F29" s="2">
        <v>15273</v>
      </c>
      <c r="G29" s="2">
        <v>14737</v>
      </c>
      <c r="H29" s="2">
        <v>18057</v>
      </c>
      <c r="I29" s="2">
        <v>17768</v>
      </c>
      <c r="J29" s="2">
        <v>19216</v>
      </c>
      <c r="K29" s="2">
        <v>21272</v>
      </c>
      <c r="L29" s="2">
        <v>20872</v>
      </c>
      <c r="M29" s="2">
        <v>19514</v>
      </c>
      <c r="N29" s="2">
        <v>21644</v>
      </c>
      <c r="O29" s="2">
        <v>15904</v>
      </c>
      <c r="P29" s="2">
        <f t="shared" si="1"/>
        <v>21205.333333333332</v>
      </c>
      <c r="Q29" s="2">
        <v>20000</v>
      </c>
      <c r="R29" s="2">
        <v>25000</v>
      </c>
      <c r="S29" s="2">
        <v>21000</v>
      </c>
      <c r="T29" s="2">
        <v>21000</v>
      </c>
      <c r="U29" s="89">
        <f>(T29-Q29)/Q29</f>
        <v>0.05</v>
      </c>
    </row>
    <row r="30" spans="1:21" ht="12.75">
      <c r="A30" t="s">
        <v>144</v>
      </c>
      <c r="B30" s="4">
        <v>52.321</v>
      </c>
      <c r="C30" s="2">
        <v>645</v>
      </c>
      <c r="D30" s="2">
        <v>781</v>
      </c>
      <c r="E30" s="2">
        <v>821</v>
      </c>
      <c r="F30" s="2">
        <v>949</v>
      </c>
      <c r="G30" s="2">
        <v>999</v>
      </c>
      <c r="H30" s="2">
        <v>1241</v>
      </c>
      <c r="I30" s="2">
        <v>1241</v>
      </c>
      <c r="J30" s="2">
        <v>957</v>
      </c>
      <c r="K30" s="2">
        <v>1061</v>
      </c>
      <c r="L30" s="2">
        <f>412+37</f>
        <v>449</v>
      </c>
      <c r="M30" s="2">
        <v>678</v>
      </c>
      <c r="N30" s="2">
        <v>728</v>
      </c>
      <c r="O30" s="2">
        <v>535</v>
      </c>
      <c r="P30" s="2">
        <f t="shared" si="1"/>
        <v>713.3333333333333</v>
      </c>
      <c r="Q30" s="2">
        <v>800</v>
      </c>
      <c r="R30" s="2">
        <v>1100</v>
      </c>
      <c r="S30" s="2">
        <v>800</v>
      </c>
      <c r="T30" s="2">
        <v>800</v>
      </c>
      <c r="U30" s="89">
        <f>(T30-Q30)/Q30</f>
        <v>0</v>
      </c>
    </row>
    <row r="31" spans="1:22" ht="12.75" hidden="1">
      <c r="A31" t="s">
        <v>226</v>
      </c>
      <c r="B31" s="4">
        <v>52.322</v>
      </c>
      <c r="C31" s="2"/>
      <c r="D31" s="2"/>
      <c r="E31" s="2">
        <v>16</v>
      </c>
      <c r="F31" s="2">
        <v>300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9"/>
      <c r="V31" s="10"/>
    </row>
    <row r="32" spans="1:21" ht="12.75">
      <c r="A32" t="s">
        <v>165</v>
      </c>
      <c r="B32" s="4">
        <v>52.33</v>
      </c>
      <c r="C32" s="2"/>
      <c r="D32" s="2"/>
      <c r="E32" s="2">
        <v>100</v>
      </c>
      <c r="F32" s="2">
        <v>395</v>
      </c>
      <c r="G32" s="2">
        <v>156</v>
      </c>
      <c r="H32" s="2">
        <v>79</v>
      </c>
      <c r="I32" s="2">
        <v>280</v>
      </c>
      <c r="J32" s="2">
        <v>57</v>
      </c>
      <c r="K32" s="2">
        <v>130</v>
      </c>
      <c r="L32" s="2"/>
      <c r="M32" s="2">
        <v>10</v>
      </c>
      <c r="N32" s="2"/>
      <c r="O32" s="2"/>
      <c r="P32" s="2">
        <v>100</v>
      </c>
      <c r="Q32" s="2">
        <v>100</v>
      </c>
      <c r="R32" s="2">
        <v>200</v>
      </c>
      <c r="S32" s="2">
        <v>100</v>
      </c>
      <c r="T32" s="2">
        <v>100</v>
      </c>
      <c r="U32" s="89">
        <f>(T32-Q32)/Q32</f>
        <v>0</v>
      </c>
    </row>
    <row r="33" spans="1:21" ht="12.75">
      <c r="A33" t="s">
        <v>156</v>
      </c>
      <c r="B33" s="4">
        <v>52.35</v>
      </c>
      <c r="C33" s="2">
        <v>4587</v>
      </c>
      <c r="D33" s="2">
        <v>4837</v>
      </c>
      <c r="E33" s="2">
        <v>1734</v>
      </c>
      <c r="F33" s="2">
        <v>1714</v>
      </c>
      <c r="G33" s="2">
        <v>1540</v>
      </c>
      <c r="H33" s="2">
        <v>3528</v>
      </c>
      <c r="I33" s="2">
        <v>2090</v>
      </c>
      <c r="J33" s="2">
        <v>1100</v>
      </c>
      <c r="K33" s="2">
        <v>1726</v>
      </c>
      <c r="L33" s="2">
        <f>2445-162</f>
        <v>2283</v>
      </c>
      <c r="M33" s="2">
        <v>825</v>
      </c>
      <c r="N33" s="2">
        <v>507</v>
      </c>
      <c r="O33" s="2">
        <v>887</v>
      </c>
      <c r="P33" s="2">
        <f t="shared" si="1"/>
        <v>1182.6666666666667</v>
      </c>
      <c r="Q33" s="2">
        <v>2000</v>
      </c>
      <c r="R33" s="2">
        <v>2500</v>
      </c>
      <c r="S33" s="2">
        <v>1500</v>
      </c>
      <c r="T33" s="2">
        <v>1500</v>
      </c>
      <c r="U33" s="89">
        <f>(T33-Q33)/Q33</f>
        <v>-0.25</v>
      </c>
    </row>
    <row r="34" spans="1:21" ht="12.75">
      <c r="A34" t="s">
        <v>146</v>
      </c>
      <c r="B34" s="4">
        <v>52.3602</v>
      </c>
      <c r="C34" s="2">
        <v>750</v>
      </c>
      <c r="D34" s="2">
        <v>750</v>
      </c>
      <c r="E34" s="2">
        <v>750</v>
      </c>
      <c r="F34" s="2">
        <v>500</v>
      </c>
      <c r="G34" s="2">
        <v>920</v>
      </c>
      <c r="H34" s="2">
        <v>600</v>
      </c>
      <c r="I34" s="2">
        <v>950</v>
      </c>
      <c r="J34" s="2">
        <v>950</v>
      </c>
      <c r="K34" s="2">
        <v>1055</v>
      </c>
      <c r="L34" s="2">
        <v>1091</v>
      </c>
      <c r="M34" s="2">
        <v>1431</v>
      </c>
      <c r="N34" s="2">
        <v>1025</v>
      </c>
      <c r="O34" s="2">
        <v>1025</v>
      </c>
      <c r="P34" s="2">
        <v>1025</v>
      </c>
      <c r="Q34" s="2">
        <v>1000</v>
      </c>
      <c r="R34" s="2">
        <v>1100</v>
      </c>
      <c r="S34" s="2">
        <v>1000</v>
      </c>
      <c r="T34" s="2">
        <v>1000</v>
      </c>
      <c r="U34" s="89"/>
    </row>
    <row r="35" spans="1:21" ht="12.75">
      <c r="A35" t="s">
        <v>157</v>
      </c>
      <c r="B35" s="4">
        <v>52.37</v>
      </c>
      <c r="C35" s="2"/>
      <c r="D35" s="2"/>
      <c r="E35" s="2">
        <v>75</v>
      </c>
      <c r="F35" s="2">
        <v>459</v>
      </c>
      <c r="G35" s="2">
        <v>759</v>
      </c>
      <c r="H35" s="2">
        <v>550</v>
      </c>
      <c r="I35" s="2"/>
      <c r="J35" s="2"/>
      <c r="K35" s="2">
        <v>1519</v>
      </c>
      <c r="L35" s="2">
        <v>51</v>
      </c>
      <c r="M35" s="2">
        <v>439</v>
      </c>
      <c r="N35" s="2">
        <v>375</v>
      </c>
      <c r="O35" s="2">
        <v>520</v>
      </c>
      <c r="P35" s="2">
        <v>520</v>
      </c>
      <c r="Q35" s="2">
        <v>1500</v>
      </c>
      <c r="R35" s="2">
        <v>2000</v>
      </c>
      <c r="S35" s="2">
        <v>500</v>
      </c>
      <c r="T35" s="2">
        <v>2000</v>
      </c>
      <c r="U35" s="89"/>
    </row>
    <row r="36" spans="1:21" ht="0.75" customHeight="1" hidden="1">
      <c r="A36" t="s">
        <v>619</v>
      </c>
      <c r="B36" s="4">
        <v>52.391</v>
      </c>
      <c r="C36" s="2"/>
      <c r="D36" s="2"/>
      <c r="E36" s="2"/>
      <c r="F36" s="2"/>
      <c r="G36" s="2"/>
      <c r="H36" s="2"/>
      <c r="I36" s="2">
        <v>3000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9"/>
    </row>
    <row r="37" spans="2:21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9"/>
    </row>
    <row r="38" spans="1:21" ht="12.75">
      <c r="A38" t="s">
        <v>974</v>
      </c>
      <c r="B38" s="4">
        <v>53.12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7936</v>
      </c>
      <c r="O38" s="2">
        <v>12442</v>
      </c>
      <c r="P38" s="2">
        <f t="shared" si="1"/>
        <v>16589.333333333332</v>
      </c>
      <c r="Q38" s="2">
        <v>20000</v>
      </c>
      <c r="R38" s="2">
        <v>22000</v>
      </c>
      <c r="S38" s="2">
        <v>17000</v>
      </c>
      <c r="T38" s="2">
        <v>17000</v>
      </c>
      <c r="U38" s="89"/>
    </row>
    <row r="39" spans="1:21" ht="12.75">
      <c r="A39" t="s">
        <v>175</v>
      </c>
      <c r="B39" s="4">
        <v>53.1704</v>
      </c>
      <c r="C39" s="2">
        <v>5731</v>
      </c>
      <c r="D39" s="2">
        <v>4997</v>
      </c>
      <c r="E39" s="2">
        <v>3077</v>
      </c>
      <c r="F39" s="2">
        <v>1402</v>
      </c>
      <c r="G39" s="2">
        <v>1576</v>
      </c>
      <c r="H39" s="2">
        <v>1398</v>
      </c>
      <c r="I39" s="2">
        <v>673</v>
      </c>
      <c r="J39" s="2">
        <v>544</v>
      </c>
      <c r="K39" s="2">
        <v>955</v>
      </c>
      <c r="L39" s="2">
        <f>659+32</f>
        <v>691</v>
      </c>
      <c r="M39" s="2">
        <v>830</v>
      </c>
      <c r="N39" s="2">
        <v>589</v>
      </c>
      <c r="O39" s="2">
        <v>3596</v>
      </c>
      <c r="P39" s="2">
        <v>4000</v>
      </c>
      <c r="Q39" s="2">
        <v>600</v>
      </c>
      <c r="R39" s="2">
        <v>1500</v>
      </c>
      <c r="S39" s="2">
        <v>1500</v>
      </c>
      <c r="T39" s="2">
        <v>1500</v>
      </c>
      <c r="U39" s="89">
        <f>(T39-Q39)/Q39</f>
        <v>1.5</v>
      </c>
    </row>
    <row r="40" spans="1:21" ht="12.75">
      <c r="A40" t="s">
        <v>151</v>
      </c>
      <c r="B40" s="4">
        <v>53.171</v>
      </c>
      <c r="C40" s="2">
        <v>7597</v>
      </c>
      <c r="D40" s="2">
        <v>5650</v>
      </c>
      <c r="E40" s="2">
        <v>8583</v>
      </c>
      <c r="F40" s="2">
        <v>7252</v>
      </c>
      <c r="G40" s="2">
        <v>6798</v>
      </c>
      <c r="H40" s="2">
        <v>6963</v>
      </c>
      <c r="I40" s="2">
        <f>7080+266</f>
        <v>7346</v>
      </c>
      <c r="J40" s="2">
        <v>9041</v>
      </c>
      <c r="K40" s="2">
        <v>8227</v>
      </c>
      <c r="L40" s="2">
        <v>9839</v>
      </c>
      <c r="M40" s="2">
        <v>8647</v>
      </c>
      <c r="N40" s="2">
        <v>11572</v>
      </c>
      <c r="O40" s="2">
        <v>5975</v>
      </c>
      <c r="P40" s="2">
        <f t="shared" si="1"/>
        <v>7966.666666666667</v>
      </c>
      <c r="Q40" s="2">
        <v>9000</v>
      </c>
      <c r="R40" s="2">
        <v>12000</v>
      </c>
      <c r="S40" s="2">
        <v>9000</v>
      </c>
      <c r="T40" s="2">
        <v>9000</v>
      </c>
      <c r="U40" s="89">
        <f>(T40-Q40)/Q40</f>
        <v>0</v>
      </c>
    </row>
    <row r="41" spans="1:21" s="6" customFormat="1" ht="12.75">
      <c r="A41" s="33" t="s">
        <v>697</v>
      </c>
      <c r="B41" s="34">
        <v>53.1715</v>
      </c>
      <c r="C41" s="13"/>
      <c r="D41" s="13"/>
      <c r="E41" s="13"/>
      <c r="F41" s="20">
        <v>300</v>
      </c>
      <c r="G41" s="20">
        <v>1382</v>
      </c>
      <c r="H41" s="20">
        <v>1173</v>
      </c>
      <c r="I41" s="20">
        <v>1675</v>
      </c>
      <c r="J41" s="20"/>
      <c r="K41" s="20"/>
      <c r="L41" s="20">
        <v>1747</v>
      </c>
      <c r="M41" s="20">
        <v>1804</v>
      </c>
      <c r="N41" s="20">
        <v>2151</v>
      </c>
      <c r="O41" s="20"/>
      <c r="P41" s="2">
        <v>2500</v>
      </c>
      <c r="Q41" s="20">
        <v>2500</v>
      </c>
      <c r="R41" s="20">
        <v>3500</v>
      </c>
      <c r="S41" s="20">
        <v>2500</v>
      </c>
      <c r="T41" s="20">
        <v>2500</v>
      </c>
      <c r="U41" s="89">
        <f>(T41-Q41)/Q41</f>
        <v>0</v>
      </c>
    </row>
    <row r="42" spans="1:21" ht="12.75">
      <c r="A42" t="s">
        <v>382</v>
      </c>
      <c r="B42" s="4">
        <v>53.1716</v>
      </c>
      <c r="C42" s="2"/>
      <c r="D42" s="2"/>
      <c r="E42" s="2"/>
      <c r="F42" s="2"/>
      <c r="G42" s="2">
        <v>397</v>
      </c>
      <c r="H42" s="2">
        <v>18</v>
      </c>
      <c r="I42" s="2"/>
      <c r="J42" s="2"/>
      <c r="K42" s="2">
        <v>213</v>
      </c>
      <c r="L42" s="2"/>
      <c r="M42" s="2">
        <v>162</v>
      </c>
      <c r="N42" s="2"/>
      <c r="O42" s="2"/>
      <c r="P42" s="2"/>
      <c r="Q42" s="2"/>
      <c r="R42" s="2"/>
      <c r="S42" s="2"/>
      <c r="T42" s="2"/>
      <c r="U42" s="89" t="e">
        <f>(T42-Q42)/Q42</f>
        <v>#DIV/0!</v>
      </c>
    </row>
    <row r="43" spans="1:21" ht="12.75" hidden="1">
      <c r="A43" t="s">
        <v>498</v>
      </c>
      <c r="B43" s="4">
        <v>53.1717</v>
      </c>
      <c r="C43" s="2"/>
      <c r="D43" s="2"/>
      <c r="E43" s="2"/>
      <c r="F43" s="2"/>
      <c r="G43" s="2">
        <v>4990</v>
      </c>
      <c r="H43" s="2"/>
      <c r="I43" s="2"/>
      <c r="J43" s="2"/>
      <c r="K43" s="2"/>
      <c r="L43" s="2"/>
      <c r="M43" s="2"/>
      <c r="N43" s="2"/>
      <c r="O43" s="2"/>
      <c r="P43" s="2">
        <f t="shared" si="1"/>
        <v>0</v>
      </c>
      <c r="Q43" s="2"/>
      <c r="R43" s="2"/>
      <c r="S43" s="2"/>
      <c r="T43" s="2"/>
      <c r="U43" s="89"/>
    </row>
    <row r="44" spans="1:21" ht="12.75">
      <c r="A44" t="s">
        <v>1019</v>
      </c>
      <c r="B44" s="4">
        <v>53.172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v>1282</v>
      </c>
      <c r="P44" s="2">
        <v>2000</v>
      </c>
      <c r="Q44" s="2"/>
      <c r="R44" s="2">
        <v>1500</v>
      </c>
      <c r="S44" s="2">
        <v>1500</v>
      </c>
      <c r="T44" s="2">
        <v>1500</v>
      </c>
      <c r="U44" s="89"/>
    </row>
    <row r="45" spans="1:21" ht="12.75">
      <c r="A45" t="s">
        <v>227</v>
      </c>
      <c r="B45" s="4">
        <v>53.173</v>
      </c>
      <c r="C45" s="2">
        <v>9079</v>
      </c>
      <c r="D45" s="2">
        <v>9195</v>
      </c>
      <c r="E45" s="2">
        <v>9885</v>
      </c>
      <c r="F45" s="2">
        <v>9603</v>
      </c>
      <c r="G45" s="2">
        <v>11008</v>
      </c>
      <c r="H45" s="2">
        <v>9135</v>
      </c>
      <c r="I45" s="2">
        <v>10185</v>
      </c>
      <c r="J45" s="2">
        <v>10840</v>
      </c>
      <c r="K45" s="2">
        <v>10238</v>
      </c>
      <c r="L45" s="2">
        <f>9643+2</f>
        <v>9645</v>
      </c>
      <c r="M45" s="2">
        <v>9512</v>
      </c>
      <c r="N45" s="2">
        <v>9283</v>
      </c>
      <c r="O45" s="2">
        <v>9608</v>
      </c>
      <c r="P45" s="2">
        <v>10000</v>
      </c>
      <c r="Q45" s="2">
        <v>10000</v>
      </c>
      <c r="R45" s="2">
        <v>15000</v>
      </c>
      <c r="S45" s="2">
        <v>10000</v>
      </c>
      <c r="T45" s="2">
        <v>10000</v>
      </c>
      <c r="U45" s="89">
        <f aca="true" t="shared" si="2" ref="U45:U50">(T45-Q45)/Q45</f>
        <v>0</v>
      </c>
    </row>
    <row r="46" spans="1:21" ht="12.75">
      <c r="A46" t="s">
        <v>189</v>
      </c>
      <c r="B46" s="4">
        <v>53.175</v>
      </c>
      <c r="C46" s="2">
        <v>16674</v>
      </c>
      <c r="D46" s="2">
        <v>20446</v>
      </c>
      <c r="E46" s="2">
        <v>21748</v>
      </c>
      <c r="F46" s="2">
        <v>19035</v>
      </c>
      <c r="G46" s="2">
        <v>18640</v>
      </c>
      <c r="H46" s="2">
        <v>17535</v>
      </c>
      <c r="I46" s="2">
        <v>13704</v>
      </c>
      <c r="J46" s="2">
        <v>25205</v>
      </c>
      <c r="K46" s="2">
        <f>22462+32</f>
        <v>22494</v>
      </c>
      <c r="L46" s="2">
        <v>11529</v>
      </c>
      <c r="M46" s="2">
        <v>23295</v>
      </c>
      <c r="N46" s="2">
        <v>23368</v>
      </c>
      <c r="O46" s="2">
        <v>21129</v>
      </c>
      <c r="P46" s="2">
        <f t="shared" si="1"/>
        <v>28172</v>
      </c>
      <c r="Q46" s="2">
        <v>13000</v>
      </c>
      <c r="R46" s="2">
        <v>20000</v>
      </c>
      <c r="S46" s="2">
        <v>20000</v>
      </c>
      <c r="T46" s="2">
        <v>20000</v>
      </c>
      <c r="U46" s="89">
        <f t="shared" si="2"/>
        <v>0.5384615384615384</v>
      </c>
    </row>
    <row r="47" spans="1:21" ht="12.75">
      <c r="A47" t="s">
        <v>178</v>
      </c>
      <c r="B47" s="4">
        <v>53.176</v>
      </c>
      <c r="C47" s="2">
        <v>1456</v>
      </c>
      <c r="D47" s="2">
        <v>1476</v>
      </c>
      <c r="E47" s="2">
        <v>2211</v>
      </c>
      <c r="F47" s="2">
        <v>1819</v>
      </c>
      <c r="G47" s="2">
        <v>1923</v>
      </c>
      <c r="H47" s="2">
        <v>2001</v>
      </c>
      <c r="I47" s="2">
        <v>2046</v>
      </c>
      <c r="J47" s="2">
        <v>2218</v>
      </c>
      <c r="K47" s="2">
        <v>2428</v>
      </c>
      <c r="L47" s="2">
        <v>2795</v>
      </c>
      <c r="M47" s="2">
        <v>2389</v>
      </c>
      <c r="N47" s="2">
        <v>2225</v>
      </c>
      <c r="O47" s="2">
        <v>2743</v>
      </c>
      <c r="P47" s="2">
        <f t="shared" si="1"/>
        <v>3657.333333333333</v>
      </c>
      <c r="Q47" s="2">
        <v>2500</v>
      </c>
      <c r="R47" s="2">
        <v>3500</v>
      </c>
      <c r="S47" s="2">
        <v>3000</v>
      </c>
      <c r="T47" s="2">
        <v>3000</v>
      </c>
      <c r="U47" s="89">
        <f t="shared" si="2"/>
        <v>0.2</v>
      </c>
    </row>
    <row r="48" spans="1:21" ht="12.75">
      <c r="A48" t="s">
        <v>179</v>
      </c>
      <c r="B48" s="4">
        <v>53.177</v>
      </c>
      <c r="C48" s="2">
        <v>5794</v>
      </c>
      <c r="D48" s="2">
        <v>6473</v>
      </c>
      <c r="E48" s="2">
        <v>5618</v>
      </c>
      <c r="F48" s="2">
        <v>7543</v>
      </c>
      <c r="G48" s="2">
        <v>6896</v>
      </c>
      <c r="H48" s="2">
        <v>5663</v>
      </c>
      <c r="I48" s="2">
        <v>6511</v>
      </c>
      <c r="J48" s="2">
        <v>8338</v>
      </c>
      <c r="K48" s="2">
        <v>7056</v>
      </c>
      <c r="L48" s="2">
        <v>6654</v>
      </c>
      <c r="M48" s="2">
        <v>10278</v>
      </c>
      <c r="N48" s="2">
        <v>11889</v>
      </c>
      <c r="O48" s="2">
        <v>6944</v>
      </c>
      <c r="P48" s="2">
        <f t="shared" si="1"/>
        <v>9258.666666666666</v>
      </c>
      <c r="Q48" s="2">
        <v>8500</v>
      </c>
      <c r="R48" s="2">
        <v>9000</v>
      </c>
      <c r="S48" s="2">
        <v>9000</v>
      </c>
      <c r="T48" s="2">
        <v>9000</v>
      </c>
      <c r="U48" s="89">
        <f t="shared" si="2"/>
        <v>0.058823529411764705</v>
      </c>
    </row>
    <row r="49" spans="1:21" ht="12.75">
      <c r="A49" t="s">
        <v>192</v>
      </c>
      <c r="B49" s="4">
        <v>53.178</v>
      </c>
      <c r="C49" s="2">
        <v>958</v>
      </c>
      <c r="D49" s="2">
        <v>957</v>
      </c>
      <c r="E49" s="2">
        <v>248</v>
      </c>
      <c r="F49" s="2">
        <v>594</v>
      </c>
      <c r="G49" s="2">
        <v>736</v>
      </c>
      <c r="H49" s="2">
        <v>200</v>
      </c>
      <c r="I49" s="2">
        <v>814</v>
      </c>
      <c r="J49" s="2">
        <v>1077</v>
      </c>
      <c r="K49" s="2">
        <v>1172</v>
      </c>
      <c r="L49" s="2">
        <v>699</v>
      </c>
      <c r="M49" s="2">
        <v>489</v>
      </c>
      <c r="N49" s="2">
        <v>2043</v>
      </c>
      <c r="O49" s="2">
        <v>765</v>
      </c>
      <c r="P49" s="2">
        <f t="shared" si="1"/>
        <v>1020</v>
      </c>
      <c r="Q49" s="2">
        <v>1200</v>
      </c>
      <c r="R49" s="2">
        <v>1500</v>
      </c>
      <c r="S49" s="2">
        <v>1000</v>
      </c>
      <c r="T49" s="2">
        <v>1000</v>
      </c>
      <c r="U49" s="89">
        <f t="shared" si="2"/>
        <v>-0.16666666666666666</v>
      </c>
    </row>
    <row r="50" spans="1:21" ht="12.75">
      <c r="A50" t="s">
        <v>180</v>
      </c>
      <c r="B50" s="4">
        <v>53.179</v>
      </c>
      <c r="C50" s="2">
        <v>25195</v>
      </c>
      <c r="D50" s="2">
        <v>38649</v>
      </c>
      <c r="E50" s="2">
        <v>40045</v>
      </c>
      <c r="F50" s="2">
        <v>33000</v>
      </c>
      <c r="G50" s="2">
        <v>45528</v>
      </c>
      <c r="H50" s="2">
        <v>54682</v>
      </c>
      <c r="I50" s="2">
        <v>78539</v>
      </c>
      <c r="J50" s="2">
        <v>102493</v>
      </c>
      <c r="K50" s="2">
        <f>96616+109</f>
        <v>96725</v>
      </c>
      <c r="L50" s="2">
        <f>137805+55</f>
        <v>137860</v>
      </c>
      <c r="M50" s="2">
        <v>88871</v>
      </c>
      <c r="N50" s="2">
        <v>98691</v>
      </c>
      <c r="O50" s="2">
        <v>91107</v>
      </c>
      <c r="P50" s="2">
        <f t="shared" si="1"/>
        <v>121476</v>
      </c>
      <c r="Q50" s="2">
        <v>95000</v>
      </c>
      <c r="R50" s="2">
        <v>150000</v>
      </c>
      <c r="S50" s="2">
        <v>115000</v>
      </c>
      <c r="T50" s="2">
        <v>115000</v>
      </c>
      <c r="U50" s="89">
        <f t="shared" si="2"/>
        <v>0.21052631578947367</v>
      </c>
    </row>
    <row r="51" spans="2:21" ht="11.25" customHeight="1" hidden="1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25</v>
      </c>
      <c r="N51" s="2"/>
      <c r="O51" s="2"/>
      <c r="P51" s="2">
        <f t="shared" si="1"/>
        <v>0</v>
      </c>
      <c r="Q51" s="2"/>
      <c r="R51" s="2"/>
      <c r="S51" s="2"/>
      <c r="T51" s="2"/>
      <c r="U51" s="89"/>
    </row>
    <row r="52" spans="1:21" ht="12.75" hidden="1">
      <c r="A52" t="s">
        <v>49</v>
      </c>
      <c r="B52" s="4">
        <v>54.2203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9"/>
    </row>
    <row r="53" spans="2:21" ht="12.7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9"/>
    </row>
    <row r="54" spans="1:21" ht="12.75">
      <c r="A54" t="s">
        <v>241</v>
      </c>
      <c r="B54" s="4">
        <v>53.18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24</v>
      </c>
      <c r="O54" s="2">
        <v>239</v>
      </c>
      <c r="P54" s="2">
        <v>1000</v>
      </c>
      <c r="Q54" s="2">
        <v>1000</v>
      </c>
      <c r="R54" s="2">
        <v>1000</v>
      </c>
      <c r="S54" s="2">
        <v>500</v>
      </c>
      <c r="T54" s="2">
        <v>500</v>
      </c>
      <c r="U54" s="89"/>
    </row>
    <row r="55" spans="1:23" ht="12.75">
      <c r="A55" t="s">
        <v>228</v>
      </c>
      <c r="B55" s="4">
        <v>54.22</v>
      </c>
      <c r="C55" s="2"/>
      <c r="D55" s="2">
        <v>58216</v>
      </c>
      <c r="E55" s="2">
        <v>61325</v>
      </c>
      <c r="F55" s="2">
        <v>46045</v>
      </c>
      <c r="G55" s="2">
        <v>158849</v>
      </c>
      <c r="H55" s="2">
        <v>92453</v>
      </c>
      <c r="I55" s="2">
        <v>78800</v>
      </c>
      <c r="J55" s="2">
        <v>74113</v>
      </c>
      <c r="K55" s="2">
        <f>95821+12539</f>
        <v>108360</v>
      </c>
      <c r="L55" s="2">
        <v>-9824</v>
      </c>
      <c r="M55" s="2"/>
      <c r="N55" s="2">
        <v>51894</v>
      </c>
      <c r="O55" s="2">
        <v>19690</v>
      </c>
      <c r="P55" s="2">
        <v>20000</v>
      </c>
      <c r="Q55" s="20">
        <v>20000</v>
      </c>
      <c r="R55" s="20">
        <v>58000</v>
      </c>
      <c r="S55" s="20">
        <v>58000</v>
      </c>
      <c r="T55" s="20">
        <v>58000</v>
      </c>
      <c r="U55" s="89">
        <f>(T55-Q55)/Q55</f>
        <v>1.9</v>
      </c>
      <c r="V55" s="2" t="s">
        <v>511</v>
      </c>
      <c r="W55" s="6"/>
    </row>
    <row r="56" spans="1:22" ht="12.75">
      <c r="A56" t="s">
        <v>229</v>
      </c>
      <c r="B56" s="4">
        <v>54.24</v>
      </c>
      <c r="C56" s="2"/>
      <c r="D56" s="2"/>
      <c r="E56" s="2">
        <v>905</v>
      </c>
      <c r="F56" s="2"/>
      <c r="G56" s="2"/>
      <c r="H56" s="2">
        <v>2400</v>
      </c>
      <c r="I56" s="2">
        <v>1684</v>
      </c>
      <c r="J56" s="2">
        <v>638</v>
      </c>
      <c r="K56" s="2">
        <v>195</v>
      </c>
      <c r="L56" s="2">
        <v>237</v>
      </c>
      <c r="M56" s="2"/>
      <c r="N56" s="2"/>
      <c r="O56" s="2"/>
      <c r="P56" s="2"/>
      <c r="Q56" s="2"/>
      <c r="R56" s="2">
        <v>2500</v>
      </c>
      <c r="S56" s="2">
        <v>1200</v>
      </c>
      <c r="T56" s="2">
        <v>1200</v>
      </c>
      <c r="U56" s="89"/>
      <c r="V56" t="s">
        <v>1040</v>
      </c>
    </row>
    <row r="57" spans="1:21" ht="12.75">
      <c r="A57" t="s">
        <v>380</v>
      </c>
      <c r="B57" s="4">
        <v>54.25</v>
      </c>
      <c r="E57" s="2">
        <v>6351</v>
      </c>
      <c r="F57" s="2"/>
      <c r="G57" s="2">
        <v>6325</v>
      </c>
      <c r="H57" s="2"/>
      <c r="I57" s="2"/>
      <c r="J57" s="2"/>
      <c r="K57" s="2"/>
      <c r="L57" s="2">
        <v>3776</v>
      </c>
      <c r="M57" s="2"/>
      <c r="N57" s="2"/>
      <c r="O57" s="2"/>
      <c r="Q57" s="2"/>
      <c r="R57" s="2"/>
      <c r="S57" s="2"/>
      <c r="T57" s="2"/>
      <c r="U57" s="89"/>
    </row>
    <row r="58" spans="1:21" ht="12.75">
      <c r="A58" t="s">
        <v>383</v>
      </c>
      <c r="B58" s="4">
        <v>54.255</v>
      </c>
      <c r="E58" s="2"/>
      <c r="F58" s="2"/>
      <c r="G58" s="2">
        <v>9661</v>
      </c>
      <c r="H58" s="2">
        <v>2903</v>
      </c>
      <c r="I58" s="2">
        <v>4533</v>
      </c>
      <c r="J58" s="2">
        <v>66</v>
      </c>
      <c r="K58" s="2">
        <v>273</v>
      </c>
      <c r="L58" s="2"/>
      <c r="M58" s="2">
        <v>4141</v>
      </c>
      <c r="N58" s="2">
        <v>2678</v>
      </c>
      <c r="O58" s="2"/>
      <c r="P58" s="2"/>
      <c r="Q58" s="2"/>
      <c r="R58" s="2"/>
      <c r="S58" s="2"/>
      <c r="T58" s="2"/>
      <c r="U58" s="89"/>
    </row>
    <row r="59" spans="1:21" ht="12.75">
      <c r="A59" t="s">
        <v>231</v>
      </c>
      <c r="B59" s="4">
        <v>54.261</v>
      </c>
      <c r="C59" s="2"/>
      <c r="D59" s="2"/>
      <c r="E59" s="2">
        <v>8000</v>
      </c>
      <c r="F59" s="2">
        <v>456</v>
      </c>
      <c r="G59" s="2">
        <v>1001</v>
      </c>
      <c r="H59" s="2">
        <v>549</v>
      </c>
      <c r="I59" s="2"/>
      <c r="J59" s="2">
        <v>9383</v>
      </c>
      <c r="K59" s="2"/>
      <c r="L59" s="2">
        <v>1382</v>
      </c>
      <c r="M59" s="2">
        <v>13931</v>
      </c>
      <c r="N59" s="2">
        <v>283</v>
      </c>
      <c r="O59" s="2">
        <v>610</v>
      </c>
      <c r="P59" s="2">
        <v>1200</v>
      </c>
      <c r="Q59" s="2">
        <v>1200</v>
      </c>
      <c r="R59" s="2">
        <v>1200</v>
      </c>
      <c r="S59" s="2">
        <v>1200</v>
      </c>
      <c r="T59" s="2">
        <v>1200</v>
      </c>
      <c r="U59" s="89">
        <f>(T59-Q59)/Q59</f>
        <v>0</v>
      </c>
    </row>
    <row r="60" spans="1:21" ht="12.75">
      <c r="A60" t="s">
        <v>232</v>
      </c>
      <c r="B60" s="4">
        <v>54.261</v>
      </c>
      <c r="C60" s="5"/>
      <c r="D60" s="5"/>
      <c r="E60" s="2">
        <v>4495</v>
      </c>
      <c r="F60" s="5"/>
      <c r="G60" s="5"/>
      <c r="H60" s="5"/>
      <c r="I60" s="5"/>
      <c r="J60" s="5"/>
      <c r="K60" s="5"/>
      <c r="L60" s="5"/>
      <c r="M60" s="5"/>
      <c r="N60" s="5"/>
      <c r="O60" s="2">
        <v>5623</v>
      </c>
      <c r="P60" s="2">
        <v>5623</v>
      </c>
      <c r="Q60" s="2"/>
      <c r="R60" s="2"/>
      <c r="S60" s="2"/>
      <c r="T60" s="2"/>
      <c r="U60" s="89"/>
    </row>
    <row r="61" spans="1:21" ht="12.75">
      <c r="A61" t="s">
        <v>620</v>
      </c>
      <c r="B61" s="4">
        <v>54.262</v>
      </c>
      <c r="C61" s="5"/>
      <c r="D61" s="5"/>
      <c r="E61" s="2"/>
      <c r="F61" s="5"/>
      <c r="G61" s="5"/>
      <c r="H61" s="5"/>
      <c r="I61" s="2">
        <v>1149</v>
      </c>
      <c r="J61" s="2"/>
      <c r="K61" s="2"/>
      <c r="L61" s="2">
        <v>3000</v>
      </c>
      <c r="M61" s="2"/>
      <c r="N61" s="2"/>
      <c r="O61" s="2"/>
      <c r="P61" s="2"/>
      <c r="Q61" s="2"/>
      <c r="R61" s="2"/>
      <c r="S61" s="2"/>
      <c r="T61" s="2"/>
      <c r="U61" s="89"/>
    </row>
    <row r="62" spans="1:21" ht="11.25" customHeight="1">
      <c r="A62" t="s">
        <v>711</v>
      </c>
      <c r="B62" s="4">
        <v>54.2622</v>
      </c>
      <c r="C62" s="5"/>
      <c r="D62" s="5"/>
      <c r="E62" s="2"/>
      <c r="F62" s="5"/>
      <c r="G62" s="5"/>
      <c r="H62" s="5"/>
      <c r="I62" s="2"/>
      <c r="J62" s="2">
        <v>19635</v>
      </c>
      <c r="K62" s="2">
        <v>3000</v>
      </c>
      <c r="L62" s="2">
        <v>3000</v>
      </c>
      <c r="M62" s="2"/>
      <c r="N62" s="2"/>
      <c r="O62" s="2"/>
      <c r="P62" s="2"/>
      <c r="Q62" s="2"/>
      <c r="R62" s="2"/>
      <c r="S62" s="2"/>
      <c r="T62" s="2"/>
      <c r="U62" s="89"/>
    </row>
    <row r="63" spans="1:21" ht="11.25" customHeight="1" hidden="1">
      <c r="A63" t="s">
        <v>670</v>
      </c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P63" s="2"/>
      <c r="Q63" s="2"/>
      <c r="R63" s="2"/>
      <c r="S63" s="2"/>
      <c r="T63" s="2"/>
      <c r="U63" s="89"/>
    </row>
    <row r="64" spans="1:21" ht="12.75" hidden="1">
      <c r="A64" t="s">
        <v>381</v>
      </c>
      <c r="B64" s="4">
        <v>57.109</v>
      </c>
      <c r="C64" s="5"/>
      <c r="D64" s="5"/>
      <c r="E64" s="2">
        <v>930</v>
      </c>
      <c r="F64" s="2"/>
      <c r="G64" s="2"/>
      <c r="H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89"/>
    </row>
    <row r="65" spans="1:22" ht="12.75" hidden="1">
      <c r="A65" t="s">
        <v>230</v>
      </c>
      <c r="B65" s="4">
        <v>57.217</v>
      </c>
      <c r="C65" s="2">
        <v>8943</v>
      </c>
      <c r="D65" s="2">
        <v>8067</v>
      </c>
      <c r="E65" s="2">
        <v>8943</v>
      </c>
      <c r="F65" s="2">
        <v>12159</v>
      </c>
      <c r="G65" s="2">
        <v>12159</v>
      </c>
      <c r="H65" s="2">
        <v>12159</v>
      </c>
      <c r="I65" s="2">
        <v>12159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9"/>
      <c r="V65" s="2"/>
    </row>
    <row r="66" spans="2:21" ht="12.75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"/>
      <c r="S66" s="2"/>
      <c r="T66" s="5"/>
      <c r="U66" s="89"/>
    </row>
    <row r="67" spans="1:21" ht="12.75">
      <c r="A67" s="6" t="s">
        <v>119</v>
      </c>
      <c r="B67" s="6"/>
      <c r="C67" s="8">
        <f aca="true" t="shared" si="3" ref="C67:I67">SUM(C7:C66)</f>
        <v>874821</v>
      </c>
      <c r="D67" s="8">
        <f t="shared" si="3"/>
        <v>975291</v>
      </c>
      <c r="E67" s="8">
        <f t="shared" si="3"/>
        <v>996230</v>
      </c>
      <c r="F67" s="8">
        <f t="shared" si="3"/>
        <v>1052328</v>
      </c>
      <c r="G67" s="8">
        <f t="shared" si="3"/>
        <v>1244997</v>
      </c>
      <c r="H67" s="8">
        <f t="shared" si="3"/>
        <v>1192747</v>
      </c>
      <c r="I67" s="8">
        <f t="shared" si="3"/>
        <v>1258971</v>
      </c>
      <c r="J67" s="8">
        <v>1447823</v>
      </c>
      <c r="K67" s="8">
        <f aca="true" t="shared" si="4" ref="K67:S67">SUM(K7:K66)</f>
        <v>1458397</v>
      </c>
      <c r="L67" s="8">
        <v>1427620</v>
      </c>
      <c r="M67" s="8">
        <v>1391328</v>
      </c>
      <c r="N67" s="8">
        <v>1487424</v>
      </c>
      <c r="O67" s="8">
        <f>SUM(O7:O66)</f>
        <v>1171415</v>
      </c>
      <c r="P67" s="8">
        <f t="shared" si="4"/>
        <v>1557154.6666666665</v>
      </c>
      <c r="Q67" s="8">
        <f t="shared" si="4"/>
        <v>1588983.897015</v>
      </c>
      <c r="R67" s="8">
        <f t="shared" si="4"/>
        <v>1775820.5325</v>
      </c>
      <c r="S67" s="8">
        <f t="shared" si="4"/>
        <v>1714760.5325</v>
      </c>
      <c r="T67" s="8">
        <f>SUM(T7:T66)</f>
        <v>1716260.5325</v>
      </c>
      <c r="U67" s="93">
        <f>(T67-Q67)/Q67</f>
        <v>0.08009938661058595</v>
      </c>
    </row>
    <row r="69" spans="17:19" ht="12.75">
      <c r="Q69" s="22" t="s">
        <v>484</v>
      </c>
      <c r="R69" s="22"/>
      <c r="S69" s="55">
        <f>R67-S67</f>
        <v>61060</v>
      </c>
    </row>
    <row r="70" spans="17:19" ht="12.75">
      <c r="Q70" s="22" t="s">
        <v>725</v>
      </c>
      <c r="R70" s="22"/>
      <c r="S70" s="55">
        <f>Q67-S67</f>
        <v>-125776.63548499998</v>
      </c>
    </row>
    <row r="71" spans="1:19" ht="12.75">
      <c r="A71" s="6"/>
      <c r="Q71" s="22" t="s">
        <v>432</v>
      </c>
      <c r="R71" s="22"/>
      <c r="S71" s="55">
        <f>S67-T67</f>
        <v>-1500</v>
      </c>
    </row>
    <row r="72" ht="12.75">
      <c r="A72" s="6"/>
    </row>
    <row r="74" ht="12.75">
      <c r="A74" s="22" t="s">
        <v>1053</v>
      </c>
    </row>
    <row r="75" ht="12.75">
      <c r="A75" t="s">
        <v>1054</v>
      </c>
    </row>
    <row r="76" ht="12.75">
      <c r="A76" t="s">
        <v>1047</v>
      </c>
    </row>
    <row r="77" ht="12.75">
      <c r="A77" s="22" t="s">
        <v>985</v>
      </c>
    </row>
    <row r="78" ht="12.75">
      <c r="A78" s="22" t="s">
        <v>1102</v>
      </c>
    </row>
    <row r="79" ht="12.75">
      <c r="A79" s="22"/>
    </row>
    <row r="90" ht="12.75">
      <c r="U90" s="2"/>
    </row>
    <row r="91" ht="12.75">
      <c r="U91" s="2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112" spans="3:2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Z98"/>
  <sheetViews>
    <sheetView zoomScale="75" zoomScaleNormal="75" workbookViewId="0" topLeftCell="A1">
      <selection activeCell="T7" sqref="T7:T4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0" max="20" width="12.00390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460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6" ht="12.75">
      <c r="A7" s="22" t="s">
        <v>652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440650</v>
      </c>
      <c r="N7" s="2">
        <v>433778</v>
      </c>
      <c r="O7" s="2">
        <v>332791</v>
      </c>
      <c r="P7" s="2">
        <f>+O7/$O$3*12</f>
        <v>443721.3333333334</v>
      </c>
      <c r="Q7" s="20">
        <v>460949</v>
      </c>
      <c r="R7" s="20">
        <v>476403</v>
      </c>
      <c r="S7" s="20">
        <v>476403</v>
      </c>
      <c r="T7" s="20">
        <v>476403</v>
      </c>
      <c r="U7" s="89">
        <f aca="true" t="shared" si="0" ref="U7:U13">(T7-Q7)/Q7</f>
        <v>0.03352648557649545</v>
      </c>
      <c r="V7" t="s">
        <v>372</v>
      </c>
      <c r="X7" s="173"/>
      <c r="Y7" s="159"/>
      <c r="Z7" s="173"/>
    </row>
    <row r="8" spans="1:21" ht="12.75">
      <c r="A8" t="s">
        <v>536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129880</v>
      </c>
      <c r="N8" s="2">
        <v>147310</v>
      </c>
      <c r="O8" s="2">
        <v>97897</v>
      </c>
      <c r="P8" s="2">
        <f>+O8/$O$3*12</f>
        <v>130529.33333333334</v>
      </c>
      <c r="Q8" s="2">
        <v>115000</v>
      </c>
      <c r="R8" s="2">
        <v>115000</v>
      </c>
      <c r="S8" s="2">
        <v>115000</v>
      </c>
      <c r="T8" s="2">
        <v>115000</v>
      </c>
      <c r="U8" s="89">
        <f t="shared" si="0"/>
        <v>0</v>
      </c>
    </row>
    <row r="9" spans="1:21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4478</v>
      </c>
      <c r="N9" s="2">
        <v>4803</v>
      </c>
      <c r="O9" s="2"/>
      <c r="P9" s="2">
        <v>6600</v>
      </c>
      <c r="Q9" s="2">
        <v>6600</v>
      </c>
      <c r="R9" s="2">
        <v>6600</v>
      </c>
      <c r="S9" s="2">
        <v>6600</v>
      </c>
      <c r="T9" s="2">
        <v>6600</v>
      </c>
      <c r="U9" s="89">
        <f t="shared" si="0"/>
        <v>0</v>
      </c>
    </row>
    <row r="10" spans="1:21" ht="12.75">
      <c r="A10" t="s">
        <v>154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18855</v>
      </c>
      <c r="N10" s="2">
        <v>18719</v>
      </c>
      <c r="O10" s="2">
        <v>17513</v>
      </c>
      <c r="P10" s="2">
        <f>+O10/$O$3*12</f>
        <v>23350.666666666668</v>
      </c>
      <c r="Q10" s="2">
        <v>20000</v>
      </c>
      <c r="R10" s="2">
        <v>20000</v>
      </c>
      <c r="S10" s="2">
        <v>20000</v>
      </c>
      <c r="T10" s="2">
        <v>20000</v>
      </c>
      <c r="U10" s="89">
        <f t="shared" si="0"/>
        <v>0</v>
      </c>
    </row>
    <row r="11" spans="1:22" ht="12.75">
      <c r="A11" t="s">
        <v>882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72171</v>
      </c>
      <c r="N11" s="2">
        <v>69265</v>
      </c>
      <c r="O11" s="2">
        <v>47714</v>
      </c>
      <c r="P11" s="2">
        <f>+O11/$O$3*12</f>
        <v>63618.66666666667</v>
      </c>
      <c r="Q11" s="31">
        <v>79360</v>
      </c>
      <c r="R11" s="31">
        <f>S11</f>
        <v>85616</v>
      </c>
      <c r="S11" s="31">
        <f>5351*16</f>
        <v>85616</v>
      </c>
      <c r="T11" s="31">
        <f>5351*16</f>
        <v>85616</v>
      </c>
      <c r="U11" s="89">
        <f t="shared" si="0"/>
        <v>0.07883064516129032</v>
      </c>
      <c r="V11" t="s">
        <v>510</v>
      </c>
    </row>
    <row r="12" spans="1:21" ht="12.75">
      <c r="A12" t="s">
        <v>141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42982</v>
      </c>
      <c r="N12" s="2">
        <v>44295</v>
      </c>
      <c r="O12" s="2">
        <v>33812</v>
      </c>
      <c r="P12" s="2">
        <f>+O12/$O$3*12</f>
        <v>45082.666666666664</v>
      </c>
      <c r="Q12" s="20">
        <f>(Q7+Q8+Q9+Q10)*0.0765</f>
        <v>46094.9985</v>
      </c>
      <c r="R12" s="20">
        <f>(R7+R8+R9+R10)*0.0765</f>
        <v>47277.2295</v>
      </c>
      <c r="S12" s="20">
        <f>(S7+S8+S9+S10)*0.0765</f>
        <v>47277.2295</v>
      </c>
      <c r="T12" s="20">
        <f>(T7+T8+T9+T10)*0.0765</f>
        <v>47277.2295</v>
      </c>
      <c r="U12" s="89">
        <f t="shared" si="0"/>
        <v>0.025647706659541376</v>
      </c>
    </row>
    <row r="13" spans="1:21" ht="12.75">
      <c r="A13" t="s">
        <v>234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2402</v>
      </c>
      <c r="O13" s="2">
        <v>1181</v>
      </c>
      <c r="P13" s="2">
        <f>+O13/$O$3*12</f>
        <v>1574.6666666666667</v>
      </c>
      <c r="Q13" s="2">
        <v>2000</v>
      </c>
      <c r="R13" s="2">
        <v>2000</v>
      </c>
      <c r="S13" s="2">
        <v>2000</v>
      </c>
      <c r="T13" s="2">
        <v>2000</v>
      </c>
      <c r="U13" s="89">
        <f t="shared" si="0"/>
        <v>0</v>
      </c>
    </row>
    <row r="14" spans="1:22" ht="12.75">
      <c r="A14" t="s">
        <v>698</v>
      </c>
      <c r="B14" s="4">
        <v>51.26</v>
      </c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>
        <v>1240</v>
      </c>
      <c r="N14" s="2">
        <v>1488</v>
      </c>
      <c r="O14" s="2">
        <v>7830</v>
      </c>
      <c r="P14" s="2">
        <v>7830</v>
      </c>
      <c r="Q14" s="2"/>
      <c r="R14" s="2"/>
      <c r="S14" s="2"/>
      <c r="T14" s="2"/>
      <c r="U14" s="89"/>
      <c r="V14" s="2"/>
    </row>
    <row r="15" spans="1:21" ht="12.75">
      <c r="A15" t="s">
        <v>1018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18360</v>
      </c>
      <c r="P15" s="2">
        <v>18360</v>
      </c>
      <c r="Q15" s="2">
        <v>18360</v>
      </c>
      <c r="R15" s="2">
        <v>19000</v>
      </c>
      <c r="S15" s="2">
        <v>19000</v>
      </c>
      <c r="T15" s="2">
        <v>19000</v>
      </c>
      <c r="U15" s="89"/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1" ht="12.75">
      <c r="A17" t="s">
        <v>1085</v>
      </c>
      <c r="B17" s="4">
        <v>52.1211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15000</v>
      </c>
      <c r="P17" s="2">
        <v>15000</v>
      </c>
      <c r="Q17" s="2"/>
      <c r="R17" s="2"/>
      <c r="S17" s="2"/>
      <c r="T17" s="2"/>
      <c r="U17" s="89"/>
    </row>
    <row r="18" spans="1:21" ht="12.75">
      <c r="A18" t="s">
        <v>235</v>
      </c>
      <c r="B18" s="4">
        <v>52.126</v>
      </c>
      <c r="C18" s="2">
        <v>35223</v>
      </c>
      <c r="D18" s="2">
        <v>24176</v>
      </c>
      <c r="E18" s="2">
        <v>46119</v>
      </c>
      <c r="F18" s="2">
        <v>64176</v>
      </c>
      <c r="G18" s="2">
        <v>53263</v>
      </c>
      <c r="H18" s="2">
        <v>43493</v>
      </c>
      <c r="I18" s="2">
        <v>38801</v>
      </c>
      <c r="J18" s="2">
        <v>67585</v>
      </c>
      <c r="K18" s="2">
        <f>56893+2071</f>
        <v>58964</v>
      </c>
      <c r="L18" s="2">
        <f>78793+1232</f>
        <v>80025</v>
      </c>
      <c r="M18" s="2">
        <v>58383</v>
      </c>
      <c r="N18" s="2">
        <v>65958</v>
      </c>
      <c r="O18" s="2">
        <v>38711</v>
      </c>
      <c r="P18" s="2">
        <f>+O18/$O$3*12</f>
        <v>51614.66666666667</v>
      </c>
      <c r="Q18" s="2">
        <v>50000</v>
      </c>
      <c r="R18" s="2">
        <v>50000</v>
      </c>
      <c r="S18" s="2">
        <v>50000</v>
      </c>
      <c r="T18" s="2">
        <v>50000</v>
      </c>
      <c r="U18" s="89">
        <f>(T18-Q18)/Q18</f>
        <v>0</v>
      </c>
    </row>
    <row r="19" spans="1:21" ht="12.75">
      <c r="A19" t="s">
        <v>197</v>
      </c>
      <c r="B19" s="4">
        <v>52.211</v>
      </c>
      <c r="C19" s="2"/>
      <c r="D19" s="2"/>
      <c r="E19" s="2">
        <v>1500</v>
      </c>
      <c r="F19" s="2">
        <v>2260</v>
      </c>
      <c r="G19" s="2">
        <v>2159</v>
      </c>
      <c r="H19" s="2">
        <v>2492</v>
      </c>
      <c r="I19" s="2">
        <v>2304</v>
      </c>
      <c r="J19" s="2">
        <v>3576</v>
      </c>
      <c r="K19" s="2">
        <v>2540</v>
      </c>
      <c r="L19" s="2">
        <v>1704</v>
      </c>
      <c r="M19" s="2">
        <v>1770</v>
      </c>
      <c r="N19" s="2">
        <v>1938</v>
      </c>
      <c r="O19" s="2">
        <v>1108</v>
      </c>
      <c r="P19" s="2">
        <f>+O19/$O$3*12</f>
        <v>1477.3333333333335</v>
      </c>
      <c r="Q19" s="2">
        <v>1900</v>
      </c>
      <c r="R19" s="2">
        <v>2000</v>
      </c>
      <c r="S19" s="2">
        <v>1700</v>
      </c>
      <c r="T19" s="2">
        <v>1700</v>
      </c>
      <c r="U19" s="89">
        <f>(T19-Q19)/Q19</f>
        <v>-0.10526315789473684</v>
      </c>
    </row>
    <row r="20" spans="1:22" ht="12.75">
      <c r="A20" t="s">
        <v>236</v>
      </c>
      <c r="B20" s="4">
        <v>52.22</v>
      </c>
      <c r="C20" s="2">
        <v>8563</v>
      </c>
      <c r="D20" s="2">
        <v>7582</v>
      </c>
      <c r="E20" s="2">
        <v>3873</v>
      </c>
      <c r="F20" s="2"/>
      <c r="G20" s="2">
        <v>2624</v>
      </c>
      <c r="H20" s="2">
        <v>1150</v>
      </c>
      <c r="I20" s="2">
        <v>2358</v>
      </c>
      <c r="J20" s="2">
        <v>2446</v>
      </c>
      <c r="K20" s="2">
        <v>5540</v>
      </c>
      <c r="L20" s="2">
        <v>3744</v>
      </c>
      <c r="M20" s="2">
        <v>1626</v>
      </c>
      <c r="N20" s="2">
        <v>444</v>
      </c>
      <c r="O20" s="2">
        <v>6019</v>
      </c>
      <c r="P20" s="2">
        <f>+O20/$O$3*12</f>
        <v>8025.333333333334</v>
      </c>
      <c r="Q20" s="2">
        <v>2000</v>
      </c>
      <c r="R20" s="2">
        <v>3600</v>
      </c>
      <c r="S20" s="2">
        <v>2000</v>
      </c>
      <c r="T20" s="2">
        <v>2000</v>
      </c>
      <c r="U20" s="89">
        <f>(T20-Q20)/Q20</f>
        <v>0</v>
      </c>
      <c r="V20" t="s">
        <v>511</v>
      </c>
    </row>
    <row r="21" spans="1:21" ht="12.75">
      <c r="A21" t="s">
        <v>199</v>
      </c>
      <c r="B21" s="4">
        <v>52.2201</v>
      </c>
      <c r="C21" s="2"/>
      <c r="D21" s="2"/>
      <c r="E21" s="2">
        <v>670</v>
      </c>
      <c r="F21" s="2">
        <v>2247</v>
      </c>
      <c r="G21" s="2">
        <v>180</v>
      </c>
      <c r="H21" s="2">
        <v>160</v>
      </c>
      <c r="I21" s="2">
        <v>160</v>
      </c>
      <c r="J21" s="2"/>
      <c r="K21" s="2">
        <v>1749</v>
      </c>
      <c r="L21" s="2"/>
      <c r="M21" s="2"/>
      <c r="N21" s="2"/>
      <c r="O21" s="2">
        <v>911</v>
      </c>
      <c r="P21" s="2">
        <f>+O21/$O$3*12</f>
        <v>1214.6666666666667</v>
      </c>
      <c r="Q21" s="2"/>
      <c r="R21" s="2">
        <v>1000</v>
      </c>
      <c r="S21" s="2">
        <v>1000</v>
      </c>
      <c r="T21" s="2">
        <v>1000</v>
      </c>
      <c r="U21" s="89"/>
    </row>
    <row r="22" spans="1:21" ht="12.75">
      <c r="A22" t="s">
        <v>200</v>
      </c>
      <c r="B22" s="4">
        <v>52.2205</v>
      </c>
      <c r="C22" s="2">
        <v>2466</v>
      </c>
      <c r="D22" s="2">
        <v>2563</v>
      </c>
      <c r="E22" s="2">
        <v>1081</v>
      </c>
      <c r="F22" s="2">
        <v>230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9"/>
    </row>
    <row r="23" spans="1:21" ht="12.75">
      <c r="A23" t="s">
        <v>186</v>
      </c>
      <c r="B23" s="4">
        <v>52.2206</v>
      </c>
      <c r="C23" s="2"/>
      <c r="D23" s="2"/>
      <c r="E23" s="2"/>
      <c r="F23" s="2">
        <v>77</v>
      </c>
      <c r="G23" s="2"/>
      <c r="H23" s="2"/>
      <c r="I23" s="2"/>
      <c r="J23" s="2"/>
      <c r="K23" s="2"/>
      <c r="L23" s="2"/>
      <c r="M23" s="2"/>
      <c r="N23" s="2"/>
      <c r="O23" s="2">
        <v>-136</v>
      </c>
      <c r="P23" s="2"/>
      <c r="Q23" s="2"/>
      <c r="R23" s="2"/>
      <c r="S23" s="2"/>
      <c r="T23" s="2"/>
      <c r="U23" s="89"/>
    </row>
    <row r="24" spans="1:21" ht="12.75">
      <c r="A24" t="s">
        <v>144</v>
      </c>
      <c r="B24" s="4">
        <v>52.321</v>
      </c>
      <c r="C24" s="2"/>
      <c r="D24" s="2"/>
      <c r="E24" s="2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 t="e">
        <f>(T24-Q24)/Q24</f>
        <v>#DIV/0!</v>
      </c>
    </row>
    <row r="25" spans="1:21" ht="12.75">
      <c r="A25" t="s">
        <v>156</v>
      </c>
      <c r="B25" s="4">
        <v>52.35</v>
      </c>
      <c r="C25" s="2">
        <v>853</v>
      </c>
      <c r="D25" s="2">
        <v>625</v>
      </c>
      <c r="E25" s="2">
        <v>1211</v>
      </c>
      <c r="F25" s="2">
        <v>556</v>
      </c>
      <c r="G25" s="2">
        <v>211</v>
      </c>
      <c r="H25" s="2">
        <v>786</v>
      </c>
      <c r="I25" s="2">
        <v>609</v>
      </c>
      <c r="J25" s="2">
        <v>58</v>
      </c>
      <c r="K25" s="2">
        <v>342</v>
      </c>
      <c r="L25" s="2">
        <v>166</v>
      </c>
      <c r="M25" s="2"/>
      <c r="N25" s="2"/>
      <c r="O25" s="11">
        <v>58</v>
      </c>
      <c r="P25" s="2">
        <v>200</v>
      </c>
      <c r="Q25" s="2">
        <v>200</v>
      </c>
      <c r="R25" s="2">
        <v>200</v>
      </c>
      <c r="S25" s="2">
        <v>200</v>
      </c>
      <c r="T25" s="2">
        <v>200</v>
      </c>
      <c r="U25" s="89">
        <f>(T25-Q25)/Q25</f>
        <v>0</v>
      </c>
    </row>
    <row r="26" spans="1:21" ht="12.75" hidden="1">
      <c r="A26" t="s">
        <v>146</v>
      </c>
      <c r="B26" s="4">
        <v>52.3602</v>
      </c>
      <c r="C26" s="2"/>
      <c r="D26" s="2"/>
      <c r="E26" s="2">
        <v>15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2" ht="12.75">
      <c r="A27" t="s">
        <v>157</v>
      </c>
      <c r="B27" s="4">
        <v>52.37</v>
      </c>
      <c r="C27" s="2"/>
      <c r="D27" s="2"/>
      <c r="E27" s="2">
        <v>105</v>
      </c>
      <c r="F27" s="2"/>
      <c r="G27" s="2">
        <v>576</v>
      </c>
      <c r="H27" s="2"/>
      <c r="I27" s="2"/>
      <c r="J27" s="2"/>
      <c r="K27" s="2">
        <v>480</v>
      </c>
      <c r="L27" s="2"/>
      <c r="M27" s="2"/>
      <c r="N27" s="2"/>
      <c r="O27" s="2">
        <v>444</v>
      </c>
      <c r="P27" s="2">
        <v>444</v>
      </c>
      <c r="Q27" s="2">
        <v>300</v>
      </c>
      <c r="R27" s="2"/>
      <c r="S27" s="2"/>
      <c r="T27" s="2"/>
      <c r="U27" s="89"/>
      <c r="V27" s="10"/>
    </row>
    <row r="28" spans="2:22" ht="12.75">
      <c r="B28" s="4"/>
      <c r="C28" s="2"/>
      <c r="D28" s="2"/>
      <c r="E28" s="2"/>
      <c r="F28" s="2"/>
      <c r="G28" s="2"/>
      <c r="H28" s="2"/>
      <c r="I28" s="2"/>
      <c r="J28" s="2">
        <v>114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1" ht="12.75">
      <c r="A29" t="s">
        <v>150</v>
      </c>
      <c r="B29" s="4">
        <v>53.12</v>
      </c>
      <c r="C29" s="2">
        <v>29019</v>
      </c>
      <c r="D29" s="2">
        <v>29793</v>
      </c>
      <c r="E29" s="2">
        <v>31934</v>
      </c>
      <c r="F29" s="2">
        <v>29883</v>
      </c>
      <c r="G29" s="2">
        <v>30335</v>
      </c>
      <c r="H29" s="2">
        <v>28069</v>
      </c>
      <c r="I29" s="2">
        <v>30918</v>
      </c>
      <c r="J29" s="2">
        <v>45697</v>
      </c>
      <c r="K29" s="2">
        <v>40455</v>
      </c>
      <c r="L29" s="2">
        <v>45545</v>
      </c>
      <c r="M29" s="2">
        <v>43069</v>
      </c>
      <c r="N29" s="2">
        <v>42862</v>
      </c>
      <c r="O29" s="2">
        <v>28717</v>
      </c>
      <c r="P29" s="2">
        <f>+O29/$O$3*12</f>
        <v>38289.333333333336</v>
      </c>
      <c r="Q29" s="2">
        <v>39000</v>
      </c>
      <c r="R29" s="2">
        <v>40000</v>
      </c>
      <c r="S29" s="2">
        <v>39000</v>
      </c>
      <c r="T29" s="2">
        <v>39000</v>
      </c>
      <c r="U29" s="89">
        <f>(T29-Q29)/Q29</f>
        <v>0</v>
      </c>
    </row>
    <row r="30" spans="1:21" ht="12.75">
      <c r="A30" t="s">
        <v>237</v>
      </c>
      <c r="B30" s="4">
        <v>53.131</v>
      </c>
      <c r="C30" s="2">
        <v>67525</v>
      </c>
      <c r="D30" s="2">
        <v>81806</v>
      </c>
      <c r="E30" s="2">
        <v>86317</v>
      </c>
      <c r="F30" s="2">
        <v>84937</v>
      </c>
      <c r="G30" s="2">
        <v>91524</v>
      </c>
      <c r="H30" s="2">
        <v>86825</v>
      </c>
      <c r="I30" s="2">
        <f>82041+8655</f>
        <v>90696</v>
      </c>
      <c r="J30" s="2">
        <v>111182</v>
      </c>
      <c r="K30" s="2">
        <v>105246</v>
      </c>
      <c r="L30" s="2">
        <v>125127</v>
      </c>
      <c r="M30" s="2">
        <v>103497</v>
      </c>
      <c r="N30" s="2">
        <v>107678</v>
      </c>
      <c r="O30" s="2">
        <v>90325</v>
      </c>
      <c r="P30" s="2">
        <f>+O30/$O$3*12</f>
        <v>120433.33333333334</v>
      </c>
      <c r="Q30" s="2">
        <v>103000</v>
      </c>
      <c r="R30" s="2">
        <v>115000</v>
      </c>
      <c r="S30" s="2">
        <v>110000</v>
      </c>
      <c r="T30" s="2">
        <v>110000</v>
      </c>
      <c r="U30" s="89">
        <f>(T30-Q30)/Q30</f>
        <v>0.06796116504854369</v>
      </c>
    </row>
    <row r="31" spans="1:22" ht="12.75">
      <c r="A31" t="s">
        <v>201</v>
      </c>
      <c r="B31" s="4">
        <v>53.1702</v>
      </c>
      <c r="C31" s="2">
        <v>5998</v>
      </c>
      <c r="D31" s="2">
        <v>7279</v>
      </c>
      <c r="E31" s="2">
        <v>379</v>
      </c>
      <c r="F31" s="2"/>
      <c r="G31" s="2">
        <v>4350</v>
      </c>
      <c r="H31" s="2"/>
      <c r="I31" s="2">
        <v>668</v>
      </c>
      <c r="J31" s="2">
        <v>3172</v>
      </c>
      <c r="K31" s="2">
        <v>6906</v>
      </c>
      <c r="L31" s="2">
        <v>3942</v>
      </c>
      <c r="M31" s="2">
        <v>427</v>
      </c>
      <c r="N31" s="2">
        <v>4189</v>
      </c>
      <c r="O31" s="2">
        <v>11005</v>
      </c>
      <c r="P31" s="2">
        <f>+O31/$O$3*12</f>
        <v>14673.333333333334</v>
      </c>
      <c r="Q31" s="2">
        <v>11000</v>
      </c>
      <c r="R31" s="2">
        <v>11500</v>
      </c>
      <c r="S31" s="2"/>
      <c r="T31" s="2"/>
      <c r="U31" s="89">
        <f>(T31-Q31)/Q31</f>
        <v>-1</v>
      </c>
      <c r="V31" t="s">
        <v>511</v>
      </c>
    </row>
    <row r="32" spans="1:22" ht="12.75" hidden="1">
      <c r="A32" t="s">
        <v>175</v>
      </c>
      <c r="B32" s="4">
        <v>53.1704</v>
      </c>
      <c r="C32" s="2"/>
      <c r="D32" s="2"/>
      <c r="E32" s="2">
        <v>141</v>
      </c>
      <c r="F32" s="2">
        <v>349</v>
      </c>
      <c r="G32" s="2"/>
      <c r="H32" s="2">
        <v>107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9" t="e">
        <f>(T32-Q32)/Q32</f>
        <v>#DIV/0!</v>
      </c>
      <c r="V32" t="s">
        <v>511</v>
      </c>
    </row>
    <row r="33" spans="1:22" ht="12.75" hidden="1">
      <c r="A33" t="s">
        <v>242</v>
      </c>
      <c r="B33" s="4">
        <v>53.1706</v>
      </c>
      <c r="C33" s="2"/>
      <c r="D33" s="2"/>
      <c r="E33" s="2"/>
      <c r="F33" s="2">
        <v>289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  <c r="V33" t="s">
        <v>511</v>
      </c>
    </row>
    <row r="34" spans="1:22" ht="12.75">
      <c r="A34" t="s">
        <v>151</v>
      </c>
      <c r="B34" s="4">
        <v>53.171</v>
      </c>
      <c r="C34" s="2">
        <v>687</v>
      </c>
      <c r="D34" s="2">
        <v>456</v>
      </c>
      <c r="E34" s="2">
        <v>843</v>
      </c>
      <c r="F34" s="2">
        <v>1401</v>
      </c>
      <c r="G34" s="2">
        <v>1954</v>
      </c>
      <c r="H34" s="2">
        <v>2069</v>
      </c>
      <c r="I34" s="2">
        <v>1921</v>
      </c>
      <c r="J34" s="2">
        <v>1261</v>
      </c>
      <c r="K34" s="2">
        <v>2308</v>
      </c>
      <c r="L34" s="2">
        <v>2362</v>
      </c>
      <c r="M34" s="2">
        <v>2840</v>
      </c>
      <c r="N34" s="2">
        <v>234</v>
      </c>
      <c r="O34" s="11">
        <v>3563</v>
      </c>
      <c r="P34" s="2">
        <f>+O34/$O$3*12</f>
        <v>4750.666666666667</v>
      </c>
      <c r="Q34" s="2">
        <v>3500</v>
      </c>
      <c r="R34" s="2">
        <v>4200</v>
      </c>
      <c r="S34" s="2">
        <v>3500</v>
      </c>
      <c r="T34" s="2">
        <v>3500</v>
      </c>
      <c r="U34" s="89">
        <f>(T34-Q34)/Q34</f>
        <v>0</v>
      </c>
      <c r="V34" t="s">
        <v>511</v>
      </c>
    </row>
    <row r="35" spans="1:22" ht="12.75">
      <c r="A35" t="s">
        <v>152</v>
      </c>
      <c r="B35" s="4">
        <v>53.172</v>
      </c>
      <c r="C35" s="2"/>
      <c r="D35" s="2"/>
      <c r="E35" s="2">
        <v>2115</v>
      </c>
      <c r="F35" s="2">
        <v>5765</v>
      </c>
      <c r="G35" s="2">
        <v>2148</v>
      </c>
      <c r="H35" s="2">
        <v>2165</v>
      </c>
      <c r="I35" s="2">
        <v>4623</v>
      </c>
      <c r="J35" s="2">
        <v>2688</v>
      </c>
      <c r="K35" s="2">
        <f>3644+1757</f>
        <v>5401</v>
      </c>
      <c r="L35" s="2">
        <f>4510+46</f>
        <v>4556</v>
      </c>
      <c r="M35" s="2">
        <v>2265</v>
      </c>
      <c r="N35" s="2">
        <v>1107</v>
      </c>
      <c r="O35" s="11">
        <v>2752</v>
      </c>
      <c r="P35" s="2">
        <f>+O35/$O$3*12</f>
        <v>3669.333333333333</v>
      </c>
      <c r="Q35" s="2">
        <v>10000</v>
      </c>
      <c r="R35" s="2">
        <v>10000</v>
      </c>
      <c r="S35" s="2"/>
      <c r="T35" s="2"/>
      <c r="U35" s="89">
        <f>(T35-Q35)/Q35</f>
        <v>-1</v>
      </c>
      <c r="V35" t="s">
        <v>511</v>
      </c>
    </row>
    <row r="36" spans="1:21" ht="12.75" hidden="1">
      <c r="A36" t="s">
        <v>238</v>
      </c>
      <c r="B36" s="4">
        <v>53.1726</v>
      </c>
      <c r="C36" s="2">
        <v>352</v>
      </c>
      <c r="D36" s="2"/>
      <c r="E36" s="2">
        <v>813</v>
      </c>
      <c r="F36" s="2"/>
      <c r="G36" s="2">
        <v>57</v>
      </c>
      <c r="H36" s="2"/>
      <c r="I36" s="2"/>
      <c r="J36" s="2"/>
      <c r="K36" s="2"/>
      <c r="L36" s="2"/>
      <c r="M36" s="2"/>
      <c r="N36" s="2"/>
      <c r="O36" s="2"/>
      <c r="P36" s="2">
        <f>+O36/$O$3*12</f>
        <v>0</v>
      </c>
      <c r="Q36" s="2"/>
      <c r="R36" s="2"/>
      <c r="S36" s="2"/>
      <c r="T36" s="2"/>
      <c r="U36" s="89"/>
    </row>
    <row r="37" spans="1:21" ht="12.75">
      <c r="A37" t="s">
        <v>239</v>
      </c>
      <c r="B37" s="4">
        <v>53.174</v>
      </c>
      <c r="C37" s="2">
        <v>3457</v>
      </c>
      <c r="D37" s="2">
        <v>5661</v>
      </c>
      <c r="E37" s="2">
        <v>5741</v>
      </c>
      <c r="F37" s="2">
        <v>5129</v>
      </c>
      <c r="G37" s="2">
        <v>4237</v>
      </c>
      <c r="H37" s="2">
        <v>5431</v>
      </c>
      <c r="I37" s="2">
        <f>6205+551</f>
        <v>6756</v>
      </c>
      <c r="J37" s="2">
        <v>5197</v>
      </c>
      <c r="K37" s="2">
        <f>4780+406</f>
        <v>5186</v>
      </c>
      <c r="L37" s="2">
        <f>-105+688</f>
        <v>583</v>
      </c>
      <c r="M37" s="2">
        <v>6268</v>
      </c>
      <c r="N37" s="2">
        <v>4736</v>
      </c>
      <c r="O37" s="2">
        <v>3518</v>
      </c>
      <c r="P37" s="2">
        <f>+O37/$O$3*12</f>
        <v>4690.666666666667</v>
      </c>
      <c r="Q37" s="2">
        <v>5000</v>
      </c>
      <c r="R37" s="2">
        <v>7500</v>
      </c>
      <c r="S37" s="2">
        <v>5000</v>
      </c>
      <c r="T37" s="2">
        <v>5000</v>
      </c>
      <c r="U37" s="89">
        <f>(T37-Q37)/Q37</f>
        <v>0</v>
      </c>
    </row>
    <row r="38" spans="1:21" ht="12.75">
      <c r="A38" t="s">
        <v>227</v>
      </c>
      <c r="B38" s="4">
        <v>53.173</v>
      </c>
      <c r="C38" s="2"/>
      <c r="D38" s="2"/>
      <c r="E38" s="2"/>
      <c r="F38" s="2"/>
      <c r="G38" s="2"/>
      <c r="H38" s="2"/>
      <c r="I38" s="2"/>
      <c r="J38" s="2"/>
      <c r="K38" s="2"/>
      <c r="L38" s="2">
        <v>5247</v>
      </c>
      <c r="M38" s="2"/>
      <c r="N38" s="2"/>
      <c r="O38" s="2"/>
      <c r="P38" s="2"/>
      <c r="Q38" s="2"/>
      <c r="R38" s="2"/>
      <c r="S38" s="2"/>
      <c r="T38" s="2"/>
      <c r="U38" s="89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9"/>
    </row>
    <row r="40" spans="1:22" ht="12.75">
      <c r="A40" t="s">
        <v>383</v>
      </c>
      <c r="B40" s="4">
        <v>54.255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34</v>
      </c>
      <c r="O40" s="2">
        <v>747</v>
      </c>
      <c r="P40" s="2">
        <v>1000</v>
      </c>
      <c r="Q40" s="2">
        <v>1000</v>
      </c>
      <c r="R40" s="2">
        <v>1100</v>
      </c>
      <c r="S40" s="2">
        <v>1000</v>
      </c>
      <c r="T40" s="2">
        <v>1000</v>
      </c>
      <c r="U40" s="89"/>
      <c r="V40" t="s">
        <v>511</v>
      </c>
    </row>
    <row r="41" spans="1:22" ht="12.75">
      <c r="A41" t="s">
        <v>976</v>
      </c>
      <c r="B41" s="4">
        <v>54.2622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3200</v>
      </c>
      <c r="P41" s="2">
        <v>3200</v>
      </c>
      <c r="Q41" s="2">
        <v>3200</v>
      </c>
      <c r="R41" s="2">
        <v>3450</v>
      </c>
      <c r="S41" s="2">
        <v>3450</v>
      </c>
      <c r="T41" s="2">
        <v>3450</v>
      </c>
      <c r="U41" s="89"/>
      <c r="V41" t="s">
        <v>511</v>
      </c>
    </row>
    <row r="42" spans="2:21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9"/>
    </row>
    <row r="43" spans="1:21" ht="12.75">
      <c r="A43" t="s">
        <v>240</v>
      </c>
      <c r="B43" s="4">
        <v>57.109</v>
      </c>
      <c r="C43" s="2">
        <v>19766</v>
      </c>
      <c r="D43" s="2">
        <v>1210</v>
      </c>
      <c r="E43" s="2">
        <v>12315</v>
      </c>
      <c r="F43" s="2">
        <v>12455</v>
      </c>
      <c r="G43" s="2">
        <v>9420</v>
      </c>
      <c r="H43" s="2">
        <v>8220</v>
      </c>
      <c r="I43" s="2">
        <f>2730+3220</f>
        <v>5950</v>
      </c>
      <c r="J43" s="2">
        <v>26933</v>
      </c>
      <c r="K43" s="2">
        <v>44120</v>
      </c>
      <c r="L43" s="2">
        <f>18070+5280</f>
        <v>23350</v>
      </c>
      <c r="M43" s="2">
        <v>39770</v>
      </c>
      <c r="N43" s="2">
        <v>5180</v>
      </c>
      <c r="O43" s="2">
        <v>735</v>
      </c>
      <c r="P43" s="2">
        <v>20000</v>
      </c>
      <c r="Q43" s="2">
        <v>30000</v>
      </c>
      <c r="R43" s="2">
        <v>30000</v>
      </c>
      <c r="S43" s="2">
        <v>20000</v>
      </c>
      <c r="T43" s="2">
        <v>20000</v>
      </c>
      <c r="U43" s="89">
        <f>(T43-Q43)/Q43</f>
        <v>-0.3333333333333333</v>
      </c>
    </row>
    <row r="44" spans="1:21" ht="12.75" hidden="1">
      <c r="A44" t="s">
        <v>241</v>
      </c>
      <c r="B44" s="4">
        <v>53.18</v>
      </c>
      <c r="C44" s="5"/>
      <c r="D44" s="5"/>
      <c r="E44" s="2">
        <v>191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2">
        <f>+O44/$O$3*12</f>
        <v>0</v>
      </c>
      <c r="Q44" s="2"/>
      <c r="R44" s="5"/>
      <c r="S44" s="2"/>
      <c r="T44" s="2"/>
      <c r="U44" s="51"/>
    </row>
    <row r="45" spans="1:21" ht="12.75" hidden="1">
      <c r="A45" t="s">
        <v>324</v>
      </c>
      <c r="B45" s="4"/>
      <c r="C45">
        <v>960</v>
      </c>
      <c r="D45" s="5"/>
      <c r="E45" s="5"/>
      <c r="F45" s="5"/>
      <c r="G45" s="5"/>
      <c r="H45" s="5"/>
      <c r="I45" s="2">
        <v>258</v>
      </c>
      <c r="J45" s="2"/>
      <c r="K45" s="2"/>
      <c r="L45" s="2"/>
      <c r="M45" s="2"/>
      <c r="N45" s="2"/>
      <c r="O45" s="5"/>
      <c r="P45" s="2">
        <f>+O45/$O$3*12</f>
        <v>0</v>
      </c>
      <c r="Q45" s="2"/>
      <c r="R45" s="5"/>
      <c r="S45" s="2"/>
      <c r="T45" s="2"/>
      <c r="U45" s="51"/>
    </row>
    <row r="46" spans="2:21" ht="12.75">
      <c r="B46" s="4"/>
      <c r="D46" s="5"/>
      <c r="E46" s="5"/>
      <c r="F46" s="5"/>
      <c r="G46" s="5"/>
      <c r="H46" s="5"/>
      <c r="I46" s="2"/>
      <c r="J46" s="2"/>
      <c r="K46" s="2"/>
      <c r="L46" s="2"/>
      <c r="M46" s="2"/>
      <c r="N46" s="2"/>
      <c r="O46" s="5"/>
      <c r="P46" s="2"/>
      <c r="Q46" s="2"/>
      <c r="R46" s="5"/>
      <c r="S46" s="2"/>
      <c r="T46" s="2"/>
      <c r="U46" s="51"/>
    </row>
    <row r="47" spans="1:21" ht="12.75">
      <c r="A47" t="s">
        <v>371</v>
      </c>
      <c r="B47" s="4"/>
      <c r="D47" s="5"/>
      <c r="E47" s="5"/>
      <c r="F47" s="5"/>
      <c r="G47" s="5"/>
      <c r="H47" s="5"/>
      <c r="I47" s="2"/>
      <c r="J47" s="2"/>
      <c r="K47" s="2"/>
      <c r="L47" s="2"/>
      <c r="M47" s="2"/>
      <c r="N47" s="2"/>
      <c r="O47" s="5"/>
      <c r="P47" s="2"/>
      <c r="Q47" s="2"/>
      <c r="R47" s="2"/>
      <c r="S47" s="2"/>
      <c r="T47" s="2"/>
      <c r="U47" s="51"/>
    </row>
    <row r="48" spans="1:21" ht="12.75">
      <c r="A48" t="s">
        <v>322</v>
      </c>
      <c r="B48" s="4"/>
      <c r="C48" s="5"/>
      <c r="D48">
        <v>11</v>
      </c>
      <c r="O48" s="5"/>
      <c r="P48" s="2"/>
      <c r="Q48" s="5"/>
      <c r="R48" s="5"/>
      <c r="S48" s="5"/>
      <c r="T48" s="129"/>
      <c r="U48" s="51"/>
    </row>
    <row r="49" spans="2:21" ht="12.75">
      <c r="B49" s="4"/>
      <c r="C49" s="5"/>
      <c r="O49" s="5"/>
      <c r="P49" s="2"/>
      <c r="Q49" s="5"/>
      <c r="R49" s="5"/>
      <c r="S49" s="5"/>
      <c r="T49" s="129"/>
      <c r="U49" s="51"/>
    </row>
    <row r="50" spans="1:21" ht="12.75">
      <c r="A50" s="6" t="s">
        <v>119</v>
      </c>
      <c r="B50" s="6"/>
      <c r="C50" s="7">
        <f aca="true" t="shared" si="1" ref="C50:I50">SUM(C7:C48)</f>
        <v>580676</v>
      </c>
      <c r="D50" s="8">
        <f t="shared" si="1"/>
        <v>542746</v>
      </c>
      <c r="E50" s="8">
        <f t="shared" si="1"/>
        <v>639988</v>
      </c>
      <c r="F50" s="8">
        <f t="shared" si="1"/>
        <v>721590</v>
      </c>
      <c r="G50" s="8">
        <f t="shared" si="1"/>
        <v>717429</v>
      </c>
      <c r="H50" s="8">
        <f t="shared" si="1"/>
        <v>757704</v>
      </c>
      <c r="I50" s="8">
        <f t="shared" si="1"/>
        <v>774334</v>
      </c>
      <c r="J50" s="8">
        <v>904417</v>
      </c>
      <c r="K50" s="8">
        <f aca="true" t="shared" si="2" ref="K50:S50">SUM(K7:K49)</f>
        <v>991311</v>
      </c>
      <c r="L50" s="8">
        <v>998072</v>
      </c>
      <c r="M50" s="8">
        <v>971579</v>
      </c>
      <c r="N50" s="8">
        <v>956420</v>
      </c>
      <c r="O50" s="8">
        <f t="shared" si="2"/>
        <v>763775</v>
      </c>
      <c r="P50" s="8">
        <f t="shared" si="2"/>
        <v>1029350</v>
      </c>
      <c r="Q50" s="8">
        <f t="shared" si="2"/>
        <v>1008463.9985</v>
      </c>
      <c r="R50" s="8">
        <f>SUM(R7:R49)</f>
        <v>1051446.2295</v>
      </c>
      <c r="S50" s="8">
        <f t="shared" si="2"/>
        <v>1008746.2295</v>
      </c>
      <c r="T50" s="8">
        <f>SUM(T7:T49)</f>
        <v>1008746.2295</v>
      </c>
      <c r="U50" s="52">
        <f>(T50-Q50)/Q50</f>
        <v>0.00027986224636657555</v>
      </c>
    </row>
    <row r="51" ht="12.75">
      <c r="U51" s="51"/>
    </row>
    <row r="52" spans="17:21" ht="12.75">
      <c r="Q52" s="22" t="s">
        <v>484</v>
      </c>
      <c r="R52" s="22"/>
      <c r="S52" s="55">
        <f>R50-S50</f>
        <v>42699.99999999988</v>
      </c>
      <c r="U52" s="51"/>
    </row>
    <row r="53" spans="17:21" ht="12.75">
      <c r="Q53" s="22" t="s">
        <v>725</v>
      </c>
      <c r="R53" s="22"/>
      <c r="S53" s="55">
        <f>Q50-S50</f>
        <v>-282.23100000002887</v>
      </c>
      <c r="U53" s="51"/>
    </row>
    <row r="54" spans="1:21" ht="12.75">
      <c r="A54" s="6"/>
      <c r="Q54" s="22" t="s">
        <v>432</v>
      </c>
      <c r="R54" s="22"/>
      <c r="S54" s="55">
        <f>S50-T50</f>
        <v>0</v>
      </c>
      <c r="U54" s="51"/>
    </row>
    <row r="55" ht="12.75">
      <c r="U55" s="51"/>
    </row>
    <row r="56" spans="1:21" ht="12.75">
      <c r="A56" t="s">
        <v>787</v>
      </c>
      <c r="U56" s="51"/>
    </row>
    <row r="57" spans="1:21" ht="12.75">
      <c r="A57" s="22" t="s">
        <v>1053</v>
      </c>
      <c r="U57" s="51"/>
    </row>
    <row r="58" spans="1:21" ht="12.75">
      <c r="A58" t="s">
        <v>1054</v>
      </c>
      <c r="U58" s="51"/>
    </row>
    <row r="59" spans="1:21" ht="12.75">
      <c r="A59" t="s">
        <v>9</v>
      </c>
      <c r="U59" s="51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3" ht="12.75">
      <c r="S73" s="5"/>
    </row>
    <row r="74" ht="12.75">
      <c r="S74" s="5"/>
    </row>
    <row r="75" ht="12.75">
      <c r="S75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spans="19:21" ht="12.75">
      <c r="S83" s="5"/>
      <c r="U83" s="2"/>
    </row>
    <row r="84" spans="19:21" ht="12.75">
      <c r="S84" s="5"/>
      <c r="U84" s="2"/>
    </row>
    <row r="85" ht="12.75">
      <c r="U85" s="2"/>
    </row>
    <row r="86" spans="19:21" ht="12.75">
      <c r="S86" s="5"/>
      <c r="U86" s="2"/>
    </row>
    <row r="87" spans="19:21" ht="12.75">
      <c r="S87" s="5"/>
      <c r="U87" s="2"/>
    </row>
    <row r="88" ht="12.75">
      <c r="U88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U82"/>
  <sheetViews>
    <sheetView zoomScale="75" zoomScaleNormal="75" workbookViewId="0" topLeftCell="A1">
      <selection activeCell="S12" sqref="S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10" width="7.57421875" style="0" hidden="1" customWidth="1"/>
    <col min="11" max="13" width="7.57421875" style="0" customWidth="1"/>
    <col min="14" max="14" width="7.57421875" style="0" bestFit="1" customWidth="1"/>
    <col min="15" max="15" width="8.00390625" style="0" bestFit="1" customWidth="1"/>
    <col min="16" max="16" width="9.7109375" style="0" customWidth="1"/>
    <col min="17" max="17" width="10.28125" style="0" bestFit="1" customWidth="1"/>
    <col min="18" max="18" width="11.7109375" style="0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0" ht="12.75">
      <c r="A3" s="6" t="s">
        <v>461</v>
      </c>
      <c r="N3" s="56">
        <v>8</v>
      </c>
      <c r="O3" s="9"/>
      <c r="T3" s="1" t="s">
        <v>434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430</v>
      </c>
      <c r="O4" s="9"/>
      <c r="P4" s="1"/>
      <c r="Q4" s="3" t="s">
        <v>114</v>
      </c>
      <c r="R4" s="3" t="s">
        <v>598</v>
      </c>
      <c r="S4" s="3" t="s">
        <v>599</v>
      </c>
      <c r="T4" s="1" t="s">
        <v>435</v>
      </c>
    </row>
    <row r="5" spans="3:20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431</v>
      </c>
      <c r="P5" s="1" t="s">
        <v>350</v>
      </c>
      <c r="Q5" s="3" t="s">
        <v>115</v>
      </c>
      <c r="R5" s="3" t="s">
        <v>116</v>
      </c>
      <c r="S5" s="3" t="s">
        <v>117</v>
      </c>
      <c r="T5" s="1" t="s">
        <v>423</v>
      </c>
    </row>
    <row r="6" spans="1:21" ht="12.75">
      <c r="A6" t="s">
        <v>121</v>
      </c>
      <c r="C6" s="38">
        <v>2000</v>
      </c>
      <c r="D6" s="38">
        <v>2001</v>
      </c>
      <c r="E6" s="38">
        <v>2002</v>
      </c>
      <c r="F6" s="38">
        <v>2003</v>
      </c>
      <c r="G6" s="38">
        <v>2004</v>
      </c>
      <c r="H6" s="38">
        <v>2005</v>
      </c>
      <c r="I6" s="38">
        <v>2006</v>
      </c>
      <c r="J6" s="38">
        <v>2007</v>
      </c>
      <c r="K6" s="38">
        <v>2008</v>
      </c>
      <c r="L6" s="38">
        <v>2009</v>
      </c>
      <c r="M6" s="38">
        <v>2010</v>
      </c>
      <c r="N6" s="23">
        <v>2011</v>
      </c>
      <c r="O6" s="23">
        <v>2011</v>
      </c>
      <c r="P6" s="23">
        <v>2011</v>
      </c>
      <c r="Q6" s="23">
        <v>2012</v>
      </c>
      <c r="R6" s="23">
        <v>2012</v>
      </c>
      <c r="S6" s="23">
        <v>2012</v>
      </c>
      <c r="T6" s="151" t="s">
        <v>1008</v>
      </c>
      <c r="U6" s="57" t="s">
        <v>118</v>
      </c>
    </row>
    <row r="7" spans="1:21" ht="12" customHeight="1">
      <c r="A7" t="s">
        <v>671</v>
      </c>
      <c r="B7" s="4"/>
      <c r="C7" s="99"/>
      <c r="D7" s="99"/>
      <c r="E7" s="99"/>
      <c r="F7" s="99">
        <v>6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  <c r="R7" s="99"/>
      <c r="S7" s="99"/>
      <c r="T7" s="99"/>
      <c r="U7" s="115" t="s">
        <v>372</v>
      </c>
    </row>
    <row r="8" spans="1:20" ht="0.75" customHeight="1" hidden="1">
      <c r="A8" t="s">
        <v>275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/>
      <c r="N8" s="2"/>
      <c r="O8" s="2">
        <f>+N8/$N$3*12</f>
        <v>0</v>
      </c>
      <c r="T8" s="89"/>
    </row>
    <row r="9" spans="1:20" ht="12.75" hidden="1">
      <c r="A9" t="s">
        <v>192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89"/>
    </row>
    <row r="10" spans="1:20" ht="12.75">
      <c r="A10" t="s">
        <v>280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48</v>
      </c>
      <c r="M10" s="2">
        <v>56</v>
      </c>
      <c r="N10" s="2">
        <v>821</v>
      </c>
      <c r="O10" s="2">
        <v>850</v>
      </c>
      <c r="T10" s="89"/>
    </row>
    <row r="11" spans="1:20" ht="12.75">
      <c r="A11" t="s">
        <v>275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N11" s="2"/>
      <c r="O11" s="2"/>
      <c r="T11" s="89"/>
    </row>
    <row r="12" spans="1:21" ht="12.75">
      <c r="A12" t="s">
        <v>180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19027</v>
      </c>
      <c r="M12" s="2">
        <v>27739</v>
      </c>
      <c r="N12" s="2">
        <v>19279</v>
      </c>
      <c r="O12" s="2">
        <v>30000</v>
      </c>
      <c r="P12" s="2">
        <v>30000</v>
      </c>
      <c r="Q12" s="2">
        <v>30000</v>
      </c>
      <c r="R12" s="2">
        <v>30000</v>
      </c>
      <c r="S12" s="2">
        <v>30000</v>
      </c>
      <c r="T12" s="89">
        <f>(S12-P12)/P12</f>
        <v>0</v>
      </c>
      <c r="U12" t="s">
        <v>510</v>
      </c>
    </row>
    <row r="13" spans="1:20" ht="12.75" hidden="1">
      <c r="A13" t="s">
        <v>241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O13" s="2"/>
      <c r="P13" s="2"/>
      <c r="T13" s="89"/>
    </row>
    <row r="14" spans="1:20" ht="12.75" hidden="1">
      <c r="A14" t="s">
        <v>560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L14" s="2"/>
      <c r="M14" s="2"/>
      <c r="O14" s="2"/>
      <c r="P14" s="2"/>
      <c r="Q14" s="5"/>
      <c r="R14" s="2"/>
      <c r="S14" s="2"/>
      <c r="T14" s="89"/>
    </row>
    <row r="15" spans="1:20" ht="12.75" hidden="1">
      <c r="A15" t="s">
        <v>559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L15" s="2"/>
      <c r="M15" s="2"/>
      <c r="O15" s="5"/>
      <c r="P15" s="2"/>
      <c r="Q15" s="5"/>
      <c r="R15" s="5"/>
      <c r="S15" s="5"/>
      <c r="T15" s="89"/>
    </row>
    <row r="16" spans="1:20" ht="12.75">
      <c r="A16" t="s">
        <v>241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 s="2">
        <v>23</v>
      </c>
      <c r="M16" s="2">
        <v>90</v>
      </c>
      <c r="N16" s="2">
        <v>19</v>
      </c>
      <c r="O16" s="2">
        <v>20</v>
      </c>
      <c r="P16" s="2"/>
      <c r="Q16" s="5"/>
      <c r="R16" s="5"/>
      <c r="S16" s="5"/>
      <c r="T16" s="89"/>
    </row>
    <row r="17" spans="1:20" ht="12.75">
      <c r="A17" s="6" t="s">
        <v>119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S17">SUM(J7:J16)</f>
        <v>26774</v>
      </c>
      <c r="K17" s="8">
        <v>36968</v>
      </c>
      <c r="L17" s="8">
        <v>19098</v>
      </c>
      <c r="M17" s="8">
        <v>27885</v>
      </c>
      <c r="N17" s="8">
        <f t="shared" si="0"/>
        <v>20119</v>
      </c>
      <c r="O17" s="8">
        <f t="shared" si="0"/>
        <v>30870</v>
      </c>
      <c r="P17" s="8">
        <f t="shared" si="0"/>
        <v>30000</v>
      </c>
      <c r="Q17" s="8">
        <f t="shared" si="0"/>
        <v>30000</v>
      </c>
      <c r="R17" s="8">
        <f t="shared" si="0"/>
        <v>30000</v>
      </c>
      <c r="S17" s="8">
        <f t="shared" si="0"/>
        <v>30000</v>
      </c>
      <c r="T17" s="52">
        <f>(S17-P17)/P17</f>
        <v>0</v>
      </c>
    </row>
    <row r="18" ht="12.75">
      <c r="T18" s="51"/>
    </row>
    <row r="19" spans="16:20" ht="12.75">
      <c r="P19" s="22" t="s">
        <v>484</v>
      </c>
      <c r="Q19" s="22"/>
      <c r="R19" s="55">
        <f>Q17-R17</f>
        <v>0</v>
      </c>
      <c r="T19" s="51"/>
    </row>
    <row r="20" spans="16:20" ht="12.75">
      <c r="P20" s="22" t="s">
        <v>725</v>
      </c>
      <c r="Q20" s="22"/>
      <c r="R20" s="55">
        <f>P17-R17</f>
        <v>0</v>
      </c>
      <c r="T20" s="51"/>
    </row>
    <row r="21" spans="16:20" ht="12.75">
      <c r="P21" s="22" t="s">
        <v>432</v>
      </c>
      <c r="Q21" s="22"/>
      <c r="R21" s="55">
        <f>R17-S17</f>
        <v>0</v>
      </c>
      <c r="T21" s="51"/>
    </row>
    <row r="22" spans="1:20" ht="12.75">
      <c r="A22" t="s">
        <v>95</v>
      </c>
      <c r="T22" s="51"/>
    </row>
    <row r="23" spans="1:20" ht="12.75">
      <c r="A23" t="s">
        <v>736</v>
      </c>
      <c r="T23" s="51"/>
    </row>
    <row r="24" spans="1:21" s="22" customFormat="1" ht="12.75">
      <c r="A24" s="40" t="s">
        <v>592</v>
      </c>
      <c r="B24" s="41">
        <v>38.9053</v>
      </c>
      <c r="C24" s="42">
        <v>4689</v>
      </c>
      <c r="D24" s="42">
        <v>7748</v>
      </c>
      <c r="E24" s="42">
        <v>7400</v>
      </c>
      <c r="F24" s="42">
        <v>9971</v>
      </c>
      <c r="G24" s="42">
        <v>14265</v>
      </c>
      <c r="H24" s="42">
        <v>20631</v>
      </c>
      <c r="I24" s="42">
        <v>29877</v>
      </c>
      <c r="J24" s="42">
        <v>28326</v>
      </c>
      <c r="K24" s="42">
        <v>33785</v>
      </c>
      <c r="L24" s="42">
        <v>21679</v>
      </c>
      <c r="M24" s="42">
        <v>25535</v>
      </c>
      <c r="N24" s="42"/>
      <c r="O24" s="43"/>
      <c r="P24" s="31"/>
      <c r="Q24" s="42"/>
      <c r="R24" s="42"/>
      <c r="S24" s="42"/>
      <c r="T24" s="98"/>
      <c r="U24" s="42"/>
    </row>
    <row r="25" spans="11:20" ht="12.75">
      <c r="K25" s="2"/>
      <c r="L25" s="2"/>
      <c r="M25" s="2"/>
      <c r="T25" s="51"/>
    </row>
    <row r="26" ht="12.75">
      <c r="T26" s="51"/>
    </row>
    <row r="27" spans="1:20" ht="12.75">
      <c r="A27" s="6"/>
      <c r="T27" s="51"/>
    </row>
    <row r="28" ht="12.75">
      <c r="T28" s="51"/>
    </row>
    <row r="29" spans="16:20" ht="12.75">
      <c r="P29" s="11"/>
      <c r="T29" s="51"/>
    </row>
    <row r="30" spans="16:20" ht="12.75">
      <c r="P30" s="11"/>
      <c r="Q30" s="5"/>
      <c r="T30" s="51"/>
    </row>
    <row r="31" spans="16:20" ht="12.75">
      <c r="P31" s="11"/>
      <c r="T31" s="51"/>
    </row>
    <row r="32" ht="12.75">
      <c r="T32" s="51"/>
    </row>
    <row r="33" spans="16:20" ht="12.75">
      <c r="P33" s="5"/>
      <c r="Q33" s="5"/>
      <c r="T33" s="51"/>
    </row>
    <row r="34" ht="12.75">
      <c r="T34" s="51"/>
    </row>
    <row r="35" ht="12.75">
      <c r="T35" s="51"/>
    </row>
    <row r="36" ht="12.75">
      <c r="T36" s="51"/>
    </row>
    <row r="37" ht="12.75">
      <c r="T37" s="51"/>
    </row>
    <row r="38" ht="12.75">
      <c r="T38" s="51"/>
    </row>
    <row r="39" ht="12.75">
      <c r="T39" s="51"/>
    </row>
    <row r="40" ht="12.75">
      <c r="T40" s="51"/>
    </row>
    <row r="41" ht="12.75">
      <c r="T41" s="51"/>
    </row>
    <row r="42" ht="12.75">
      <c r="T42" s="51"/>
    </row>
    <row r="43" ht="12.75">
      <c r="T43" s="51"/>
    </row>
    <row r="44" ht="12.75">
      <c r="T44" s="51"/>
    </row>
    <row r="45" ht="12.75">
      <c r="T45" s="51"/>
    </row>
    <row r="46" ht="12.75">
      <c r="T46" s="51"/>
    </row>
    <row r="47" ht="12.75">
      <c r="T47" s="51"/>
    </row>
    <row r="48" ht="12.75">
      <c r="T48" s="51"/>
    </row>
    <row r="49" ht="12.75">
      <c r="T49" s="51"/>
    </row>
    <row r="50" ht="12.75">
      <c r="T50" s="51"/>
    </row>
    <row r="51" ht="12.75">
      <c r="T51" s="51"/>
    </row>
    <row r="52" ht="12.75">
      <c r="T52" s="51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7" ht="12.75">
      <c r="T77" s="2"/>
    </row>
    <row r="78" ht="12.75">
      <c r="T78" s="2"/>
    </row>
    <row r="79" ht="12.75">
      <c r="T79" s="2"/>
    </row>
    <row r="80" ht="12.75">
      <c r="T80" s="2"/>
    </row>
    <row r="81" ht="12.75">
      <c r="T81" s="2"/>
    </row>
    <row r="82" ht="12.75">
      <c r="T82" s="2"/>
    </row>
  </sheetData>
  <printOptions gridLines="1"/>
  <pageMargins left="0.25" right="0.25" top="1" bottom="0.55" header="0.5" footer="0.25"/>
  <pageSetup fitToHeight="1" fitToWidth="1" horizontalDpi="300" verticalDpi="300" orientation="landscape" scale="96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V124"/>
  <sheetViews>
    <sheetView zoomScale="75" zoomScaleNormal="75" workbookViewId="0" topLeftCell="A1">
      <selection activeCell="A12" sqref="A12:IV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1" width="10.00390625" style="0" hidden="1" customWidth="1"/>
    <col min="12" max="12" width="10.421875" style="0" bestFit="1" customWidth="1"/>
    <col min="13" max="14" width="10.421875" style="0" customWidth="1"/>
    <col min="15" max="16" width="11.28125" style="0" bestFit="1" customWidth="1"/>
    <col min="17" max="18" width="11.7109375" style="0" customWidth="1"/>
    <col min="19" max="20" width="10.8515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462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734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803468</v>
      </c>
      <c r="N7" s="2">
        <v>809208</v>
      </c>
      <c r="O7" s="2">
        <v>617764</v>
      </c>
      <c r="P7" s="2">
        <f aca="true" t="shared" si="0" ref="P7:P44">+O7/$O$3*12</f>
        <v>823685.3333333333</v>
      </c>
      <c r="Q7" s="2">
        <v>766768.18</v>
      </c>
      <c r="R7" s="2">
        <f>779500*1.025</f>
        <v>798987.4999999999</v>
      </c>
      <c r="S7" s="2">
        <v>796988</v>
      </c>
      <c r="T7" s="2">
        <v>796988</v>
      </c>
      <c r="U7" s="89">
        <f aca="true" t="shared" si="1" ref="U7:U60">(T7-Q7)/Q7</f>
        <v>0.039411938038430266</v>
      </c>
      <c r="V7" t="s">
        <v>15</v>
      </c>
    </row>
    <row r="8" spans="1:22" ht="12.75">
      <c r="A8" t="s">
        <v>733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101973</v>
      </c>
      <c r="N8" s="2">
        <v>117356</v>
      </c>
      <c r="O8" s="2">
        <v>99228</v>
      </c>
      <c r="P8" s="2">
        <f t="shared" si="0"/>
        <v>132304</v>
      </c>
      <c r="Q8" s="2">
        <v>120000</v>
      </c>
      <c r="R8" s="2">
        <v>135000</v>
      </c>
      <c r="S8" s="2">
        <v>120000</v>
      </c>
      <c r="T8" s="2">
        <v>120000</v>
      </c>
      <c r="U8" s="89"/>
      <c r="V8" t="s">
        <v>575</v>
      </c>
    </row>
    <row r="9" spans="1:21" ht="12.75">
      <c r="A9" t="s">
        <v>708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14626</v>
      </c>
      <c r="N9" s="2">
        <v>16099</v>
      </c>
      <c r="O9" s="2"/>
      <c r="P9" s="2">
        <v>22000</v>
      </c>
      <c r="Q9" s="18">
        <v>22000</v>
      </c>
      <c r="R9" s="2">
        <v>25000</v>
      </c>
      <c r="S9" s="18">
        <v>22000</v>
      </c>
      <c r="T9" s="18">
        <v>22000</v>
      </c>
      <c r="U9" s="89">
        <f t="shared" si="1"/>
        <v>0</v>
      </c>
    </row>
    <row r="10" spans="1:22" ht="12.75">
      <c r="A10" t="s">
        <v>154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334340</v>
      </c>
      <c r="N10" s="2">
        <v>320337</v>
      </c>
      <c r="O10" s="2">
        <v>248950</v>
      </c>
      <c r="P10" s="2">
        <f t="shared" si="0"/>
        <v>331933.3333333333</v>
      </c>
      <c r="Q10" s="20">
        <v>330000</v>
      </c>
      <c r="R10" s="20">
        <v>336000</v>
      </c>
      <c r="S10" s="20">
        <v>330000</v>
      </c>
      <c r="T10" s="20">
        <v>330000</v>
      </c>
      <c r="U10" s="89">
        <f t="shared" si="1"/>
        <v>0</v>
      </c>
      <c r="V10" s="20" t="s">
        <v>575</v>
      </c>
    </row>
    <row r="11" spans="1:22" ht="12.75">
      <c r="A11" t="s">
        <v>490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97521</v>
      </c>
      <c r="N11" s="2">
        <v>98397</v>
      </c>
      <c r="O11" s="2">
        <v>76538</v>
      </c>
      <c r="P11" s="2">
        <f t="shared" si="0"/>
        <v>102050.66666666667</v>
      </c>
      <c r="Q11" s="31">
        <v>106640</v>
      </c>
      <c r="R11" s="31">
        <f>5351*24.5</f>
        <v>131099.5</v>
      </c>
      <c r="S11" s="31">
        <f>5351*24.5</f>
        <v>131099.5</v>
      </c>
      <c r="T11" s="31">
        <f>5351*24.5</f>
        <v>131099.5</v>
      </c>
      <c r="U11" s="89">
        <f t="shared" si="1"/>
        <v>0.2293651537884471</v>
      </c>
      <c r="V11" t="s">
        <v>1032</v>
      </c>
    </row>
    <row r="12" spans="1:22" s="22" customFormat="1" ht="12.75">
      <c r="A12" s="22" t="s">
        <v>351</v>
      </c>
      <c r="B12" s="48">
        <v>51.211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"/>
      <c r="P12" s="31"/>
      <c r="Q12" s="31"/>
      <c r="R12" s="31">
        <v>8400</v>
      </c>
      <c r="S12" s="31">
        <v>8400</v>
      </c>
      <c r="T12" s="31">
        <v>8400</v>
      </c>
      <c r="U12" s="51"/>
      <c r="V12" s="22" t="s">
        <v>588</v>
      </c>
    </row>
    <row r="13" spans="1:22" ht="12.75">
      <c r="A13" t="s">
        <v>141</v>
      </c>
      <c r="B13" s="4">
        <v>51.22</v>
      </c>
      <c r="C13" s="2">
        <v>42811</v>
      </c>
      <c r="D13" s="2">
        <v>46250</v>
      </c>
      <c r="E13" s="2">
        <v>49933</v>
      </c>
      <c r="F13" s="2">
        <v>52867</v>
      </c>
      <c r="G13" s="2">
        <v>49366</v>
      </c>
      <c r="H13" s="2">
        <v>48294</v>
      </c>
      <c r="I13" s="2">
        <v>48274</v>
      </c>
      <c r="J13" s="2">
        <v>71567</v>
      </c>
      <c r="K13" s="2">
        <v>77971</v>
      </c>
      <c r="L13" s="2">
        <v>89080.28</v>
      </c>
      <c r="M13" s="2">
        <v>70830</v>
      </c>
      <c r="N13" s="2">
        <v>91482</v>
      </c>
      <c r="O13" s="2">
        <v>70478</v>
      </c>
      <c r="P13" s="2">
        <f t="shared" si="0"/>
        <v>93970.66666666666</v>
      </c>
      <c r="Q13" s="20">
        <f>(Q7+Q8+Q9+Q10)*0.0765</f>
        <v>94765.76577000001</v>
      </c>
      <c r="R13" s="20">
        <f>(R7+R8+R9+R10)*0.0765</f>
        <v>99066.54375</v>
      </c>
      <c r="S13" s="20">
        <f>(S7+S8+S9+S10)*0.0765</f>
        <v>97077.582</v>
      </c>
      <c r="T13" s="20">
        <f>(T7+T8+T9+T10)*0.0765</f>
        <v>97077.582</v>
      </c>
      <c r="U13" s="89">
        <f t="shared" si="1"/>
        <v>0.024395056708673098</v>
      </c>
      <c r="V13" t="s">
        <v>575</v>
      </c>
    </row>
    <row r="14" spans="1:21" ht="12.75">
      <c r="A14" t="s">
        <v>155</v>
      </c>
      <c r="B14" s="4">
        <v>51.24</v>
      </c>
      <c r="C14" s="2">
        <v>8189</v>
      </c>
      <c r="D14" s="2">
        <v>9511</v>
      </c>
      <c r="E14" s="2">
        <v>9463</v>
      </c>
      <c r="F14" s="2">
        <v>8738</v>
      </c>
      <c r="G14" s="2">
        <v>7878</v>
      </c>
      <c r="H14" s="2">
        <v>9108</v>
      </c>
      <c r="I14" s="2">
        <v>9491</v>
      </c>
      <c r="J14" s="2">
        <v>11082</v>
      </c>
      <c r="K14" s="2">
        <v>11697</v>
      </c>
      <c r="L14" s="2">
        <v>12293</v>
      </c>
      <c r="M14" s="2">
        <v>4431</v>
      </c>
      <c r="N14" s="2">
        <v>12194</v>
      </c>
      <c r="O14" s="2">
        <v>9431</v>
      </c>
      <c r="P14" s="2">
        <f t="shared" si="0"/>
        <v>12574.666666666668</v>
      </c>
      <c r="Q14" s="2">
        <v>13500</v>
      </c>
      <c r="R14" s="2">
        <v>16000</v>
      </c>
      <c r="S14" s="2">
        <v>14000</v>
      </c>
      <c r="T14" s="2">
        <v>14000</v>
      </c>
      <c r="U14" s="89">
        <f t="shared" si="1"/>
        <v>0.037037037037037035</v>
      </c>
    </row>
    <row r="15" spans="1:21" ht="12.75">
      <c r="A15" t="s">
        <v>1020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21665+240</f>
        <v>21905</v>
      </c>
      <c r="P15" s="2">
        <v>21905</v>
      </c>
      <c r="Q15" s="2">
        <v>21905</v>
      </c>
      <c r="R15" s="2">
        <v>22000</v>
      </c>
      <c r="S15" s="2">
        <v>22000</v>
      </c>
      <c r="T15" s="2">
        <v>22000</v>
      </c>
      <c r="U15" s="89">
        <f t="shared" si="1"/>
        <v>0.004336909381419767</v>
      </c>
    </row>
    <row r="16" spans="1:21" ht="12.75">
      <c r="A16" t="s">
        <v>1086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330</v>
      </c>
      <c r="P16" s="2">
        <v>330</v>
      </c>
      <c r="Q16" s="2"/>
      <c r="R16" s="2"/>
      <c r="S16" s="2"/>
      <c r="T16" s="2"/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1087</v>
      </c>
      <c r="B18" s="4">
        <v>52.126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292</v>
      </c>
      <c r="P18" s="2">
        <v>292</v>
      </c>
      <c r="Q18" s="2"/>
      <c r="R18" s="2"/>
      <c r="S18" s="2"/>
      <c r="T18" s="2"/>
      <c r="U18" s="89"/>
    </row>
    <row r="19" spans="1:22" ht="12.75">
      <c r="A19" t="s">
        <v>370</v>
      </c>
      <c r="B19" s="4">
        <v>52.2202</v>
      </c>
      <c r="C19" s="2"/>
      <c r="D19" s="2"/>
      <c r="E19" s="2"/>
      <c r="F19" s="2">
        <v>385</v>
      </c>
      <c r="G19" s="2">
        <v>691</v>
      </c>
      <c r="H19" s="2">
        <v>684</v>
      </c>
      <c r="I19" s="2">
        <v>744</v>
      </c>
      <c r="J19" s="2">
        <v>235</v>
      </c>
      <c r="K19" s="2">
        <v>400</v>
      </c>
      <c r="L19" s="2">
        <v>1131</v>
      </c>
      <c r="M19" s="2">
        <v>483</v>
      </c>
      <c r="N19" s="2"/>
      <c r="O19" s="2"/>
      <c r="P19" s="2">
        <v>500</v>
      </c>
      <c r="Q19" s="2">
        <v>500</v>
      </c>
      <c r="R19" s="2">
        <v>500</v>
      </c>
      <c r="S19" s="2">
        <v>500</v>
      </c>
      <c r="T19" s="2">
        <v>500</v>
      </c>
      <c r="U19" s="89">
        <f t="shared" si="1"/>
        <v>0</v>
      </c>
      <c r="V19" s="2"/>
    </row>
    <row r="20" spans="1:21" ht="12.75">
      <c r="A20" t="s">
        <v>244</v>
      </c>
      <c r="B20" s="4">
        <v>52.2203</v>
      </c>
      <c r="C20" s="2">
        <v>7963</v>
      </c>
      <c r="D20" s="2">
        <v>7635</v>
      </c>
      <c r="E20" s="2">
        <v>6738</v>
      </c>
      <c r="F20" s="2">
        <v>7488</v>
      </c>
      <c r="G20" s="2">
        <v>7391</v>
      </c>
      <c r="H20" s="2">
        <v>6132</v>
      </c>
      <c r="I20" s="2">
        <v>6132</v>
      </c>
      <c r="J20" s="2">
        <v>5112</v>
      </c>
      <c r="K20" s="2">
        <v>6144</v>
      </c>
      <c r="L20" s="2">
        <v>6144</v>
      </c>
      <c r="M20" s="2">
        <v>6144</v>
      </c>
      <c r="N20" s="2">
        <v>6144</v>
      </c>
      <c r="O20" s="2">
        <v>4608</v>
      </c>
      <c r="P20" s="2">
        <f t="shared" si="0"/>
        <v>6144</v>
      </c>
      <c r="Q20" s="2">
        <v>6200</v>
      </c>
      <c r="R20" s="2">
        <v>6200</v>
      </c>
      <c r="S20" s="2">
        <v>6200</v>
      </c>
      <c r="T20" s="2">
        <v>6200</v>
      </c>
      <c r="U20" s="89">
        <f t="shared" si="1"/>
        <v>0</v>
      </c>
    </row>
    <row r="21" spans="1:21" ht="12.75">
      <c r="A21" t="s">
        <v>186</v>
      </c>
      <c r="B21" s="4">
        <v>52.2206</v>
      </c>
      <c r="C21" s="2">
        <v>2117</v>
      </c>
      <c r="D21" s="2">
        <v>4215</v>
      </c>
      <c r="E21" s="2">
        <v>1805</v>
      </c>
      <c r="F21" s="2">
        <v>1027</v>
      </c>
      <c r="G21" s="2">
        <v>325</v>
      </c>
      <c r="H21" s="2">
        <v>486</v>
      </c>
      <c r="I21" s="2">
        <v>225</v>
      </c>
      <c r="J21" s="2"/>
      <c r="K21" s="2">
        <v>741</v>
      </c>
      <c r="L21" s="2">
        <v>680</v>
      </c>
      <c r="M21" s="2">
        <v>291</v>
      </c>
      <c r="N21" s="2">
        <v>2560</v>
      </c>
      <c r="O21" s="2">
        <v>2233</v>
      </c>
      <c r="P21" s="2">
        <f t="shared" si="0"/>
        <v>2977.3333333333335</v>
      </c>
      <c r="Q21" s="2">
        <v>500</v>
      </c>
      <c r="R21" s="2">
        <v>500</v>
      </c>
      <c r="S21" s="2">
        <v>500</v>
      </c>
      <c r="T21" s="2">
        <v>500</v>
      </c>
      <c r="U21" s="89">
        <f t="shared" si="1"/>
        <v>0</v>
      </c>
    </row>
    <row r="22" spans="1:21" ht="12.75">
      <c r="A22" t="s">
        <v>245</v>
      </c>
      <c r="B22" s="4">
        <v>52.2209</v>
      </c>
      <c r="C22" s="5"/>
      <c r="D22" s="5"/>
      <c r="E22" s="2">
        <v>1000</v>
      </c>
      <c r="F22" s="2"/>
      <c r="G22" s="2">
        <v>1325</v>
      </c>
      <c r="H22" s="2">
        <v>1200</v>
      </c>
      <c r="I22" s="2">
        <v>1200</v>
      </c>
      <c r="J22" s="2">
        <v>1200</v>
      </c>
      <c r="K22" s="2">
        <v>1200</v>
      </c>
      <c r="L22" s="2">
        <v>1800</v>
      </c>
      <c r="M22" s="2">
        <v>3450</v>
      </c>
      <c r="N22" s="2">
        <v>3450</v>
      </c>
      <c r="O22" s="2">
        <v>6650</v>
      </c>
      <c r="P22" s="2">
        <v>3600</v>
      </c>
      <c r="Q22" s="2">
        <v>3600</v>
      </c>
      <c r="R22" s="2">
        <v>3450</v>
      </c>
      <c r="S22" s="2">
        <v>3450</v>
      </c>
      <c r="T22" s="2">
        <v>3450</v>
      </c>
      <c r="U22" s="89">
        <f t="shared" si="1"/>
        <v>-0.041666666666666664</v>
      </c>
    </row>
    <row r="23" spans="1:21" ht="12.75">
      <c r="A23" t="s">
        <v>597</v>
      </c>
      <c r="B23" s="4">
        <v>52.2213</v>
      </c>
      <c r="C23" s="5"/>
      <c r="D23" s="5"/>
      <c r="E23" s="5"/>
      <c r="F23" s="5"/>
      <c r="G23" s="2">
        <v>320</v>
      </c>
      <c r="H23" s="2">
        <v>325</v>
      </c>
      <c r="I23" s="2">
        <v>425</v>
      </c>
      <c r="J23" s="2"/>
      <c r="K23" s="2"/>
      <c r="L23" s="2"/>
      <c r="M23" s="2"/>
      <c r="N23" s="2"/>
      <c r="O23" s="2"/>
      <c r="P23" s="2">
        <v>500</v>
      </c>
      <c r="Q23" s="2">
        <v>500</v>
      </c>
      <c r="R23" s="2">
        <v>500</v>
      </c>
      <c r="S23" s="2">
        <v>500</v>
      </c>
      <c r="T23" s="2">
        <v>500</v>
      </c>
      <c r="U23" s="89">
        <f t="shared" si="1"/>
        <v>0</v>
      </c>
    </row>
    <row r="24" spans="1:21" ht="12.75">
      <c r="A24" t="s">
        <v>798</v>
      </c>
      <c r="B24" s="4">
        <v>52.2216</v>
      </c>
      <c r="C24" s="5"/>
      <c r="D24" s="5"/>
      <c r="E24" s="5"/>
      <c r="F24" s="5"/>
      <c r="G24" s="2"/>
      <c r="H24" s="2"/>
      <c r="I24" s="2"/>
      <c r="J24" s="2"/>
      <c r="K24" s="2">
        <v>4020</v>
      </c>
      <c r="L24" s="2"/>
      <c r="M24" s="2">
        <v>4150</v>
      </c>
      <c r="N24" s="2">
        <v>5155</v>
      </c>
      <c r="O24" s="2"/>
      <c r="P24" s="2">
        <v>5155</v>
      </c>
      <c r="Q24" s="2">
        <v>5155</v>
      </c>
      <c r="R24" s="2">
        <v>5155</v>
      </c>
      <c r="S24" s="2">
        <v>5155</v>
      </c>
      <c r="T24" s="2">
        <v>5155</v>
      </c>
      <c r="U24" s="89"/>
    </row>
    <row r="25" spans="1:21" ht="12.75">
      <c r="A25" t="s">
        <v>143</v>
      </c>
      <c r="B25" s="4">
        <v>52.32</v>
      </c>
      <c r="C25" s="2">
        <v>4119</v>
      </c>
      <c r="D25" s="2">
        <v>3588</v>
      </c>
      <c r="E25" s="2">
        <v>3658</v>
      </c>
      <c r="F25" s="2">
        <v>4571</v>
      </c>
      <c r="G25" s="2">
        <v>4603</v>
      </c>
      <c r="H25" s="2">
        <v>3932</v>
      </c>
      <c r="I25" s="2">
        <v>6313</v>
      </c>
      <c r="J25" s="2">
        <v>4807</v>
      </c>
      <c r="K25" s="2">
        <v>4753</v>
      </c>
      <c r="L25" s="2">
        <v>5879</v>
      </c>
      <c r="M25" s="2">
        <v>6187</v>
      </c>
      <c r="N25" s="2">
        <v>4881</v>
      </c>
      <c r="O25" s="2">
        <v>3207</v>
      </c>
      <c r="P25" s="2">
        <f t="shared" si="0"/>
        <v>4276</v>
      </c>
      <c r="Q25" s="2">
        <v>4500</v>
      </c>
      <c r="R25" s="2">
        <v>4600</v>
      </c>
      <c r="S25" s="2">
        <v>4600</v>
      </c>
      <c r="T25" s="2">
        <v>4600</v>
      </c>
      <c r="U25" s="89">
        <f t="shared" si="1"/>
        <v>0.022222222222222223</v>
      </c>
    </row>
    <row r="26" spans="1:21" ht="12.75">
      <c r="A26" t="s">
        <v>144</v>
      </c>
      <c r="B26" s="4">
        <v>52.321</v>
      </c>
      <c r="C26" s="2">
        <v>1942</v>
      </c>
      <c r="D26" s="2">
        <v>2097</v>
      </c>
      <c r="E26" s="2">
        <v>1792</v>
      </c>
      <c r="F26" s="2">
        <v>1506</v>
      </c>
      <c r="G26" s="2">
        <v>1873</v>
      </c>
      <c r="H26" s="2">
        <v>2049</v>
      </c>
      <c r="I26" s="2">
        <v>1794</v>
      </c>
      <c r="J26" s="2">
        <v>1063</v>
      </c>
      <c r="K26" s="2">
        <v>1944</v>
      </c>
      <c r="L26" s="2">
        <v>681</v>
      </c>
      <c r="M26" s="2">
        <v>1118</v>
      </c>
      <c r="N26" s="2">
        <v>1012</v>
      </c>
      <c r="O26" s="2">
        <v>652</v>
      </c>
      <c r="P26" s="2">
        <f t="shared" si="0"/>
        <v>869.3333333333333</v>
      </c>
      <c r="Q26" s="2">
        <v>1200</v>
      </c>
      <c r="R26" s="2">
        <v>1200</v>
      </c>
      <c r="S26" s="2">
        <v>1200</v>
      </c>
      <c r="T26" s="2">
        <v>1200</v>
      </c>
      <c r="U26" s="89">
        <f t="shared" si="1"/>
        <v>0</v>
      </c>
    </row>
    <row r="27" spans="1:21" ht="12.75">
      <c r="A27" t="s">
        <v>156</v>
      </c>
      <c r="B27" s="4">
        <v>52.35</v>
      </c>
      <c r="C27" s="2">
        <v>3653</v>
      </c>
      <c r="D27" s="2">
        <v>3892</v>
      </c>
      <c r="E27" s="2">
        <v>3225</v>
      </c>
      <c r="F27" s="2">
        <v>1049</v>
      </c>
      <c r="G27" s="2">
        <v>2455</v>
      </c>
      <c r="H27" s="2">
        <v>2768</v>
      </c>
      <c r="I27" s="2">
        <f>3697+141</f>
        <v>3838</v>
      </c>
      <c r="J27" s="2">
        <v>2137</v>
      </c>
      <c r="K27" s="2">
        <v>2550</v>
      </c>
      <c r="L27" s="2">
        <v>2432</v>
      </c>
      <c r="M27" s="2">
        <v>1859</v>
      </c>
      <c r="N27" s="2">
        <v>1525</v>
      </c>
      <c r="O27" s="2">
        <v>55</v>
      </c>
      <c r="P27" s="2">
        <v>2500</v>
      </c>
      <c r="Q27" s="2">
        <v>2500</v>
      </c>
      <c r="R27" s="2">
        <v>2500</v>
      </c>
      <c r="S27" s="2">
        <v>2000</v>
      </c>
      <c r="T27" s="2">
        <v>2000</v>
      </c>
      <c r="U27" s="89">
        <f t="shared" si="1"/>
        <v>-0.2</v>
      </c>
    </row>
    <row r="28" spans="1:21" ht="12.75">
      <c r="A28" t="s">
        <v>146</v>
      </c>
      <c r="B28" s="4">
        <v>52.3602</v>
      </c>
      <c r="C28" s="2">
        <v>5550</v>
      </c>
      <c r="D28" s="2">
        <v>6635</v>
      </c>
      <c r="E28" s="2">
        <v>135</v>
      </c>
      <c r="F28" s="2">
        <v>8095</v>
      </c>
      <c r="G28" s="2">
        <v>90</v>
      </c>
      <c r="H28" s="2">
        <v>1200</v>
      </c>
      <c r="I28" s="2">
        <v>880</v>
      </c>
      <c r="J28" s="2">
        <v>1630</v>
      </c>
      <c r="K28" s="2">
        <v>859</v>
      </c>
      <c r="L28" s="2">
        <v>1605</v>
      </c>
      <c r="M28" s="2">
        <v>857</v>
      </c>
      <c r="N28" s="2">
        <v>1475</v>
      </c>
      <c r="O28" s="2"/>
      <c r="P28" s="2">
        <v>1600</v>
      </c>
      <c r="Q28" s="2">
        <v>1600</v>
      </c>
      <c r="R28" s="2">
        <v>1600</v>
      </c>
      <c r="S28" s="2">
        <v>1500</v>
      </c>
      <c r="T28" s="2">
        <v>1500</v>
      </c>
      <c r="U28" s="89">
        <f t="shared" si="1"/>
        <v>-0.0625</v>
      </c>
    </row>
    <row r="29" spans="1:21" ht="12.75">
      <c r="A29" t="s">
        <v>157</v>
      </c>
      <c r="B29" s="4">
        <v>52.37</v>
      </c>
      <c r="C29" s="2"/>
      <c r="D29" s="2"/>
      <c r="E29" s="2">
        <v>960</v>
      </c>
      <c r="F29" s="2">
        <v>2711</v>
      </c>
      <c r="G29" s="2">
        <v>2550</v>
      </c>
      <c r="H29" s="2">
        <v>2791</v>
      </c>
      <c r="I29" s="2"/>
      <c r="J29" s="2">
        <v>325</v>
      </c>
      <c r="K29" s="2">
        <v>3018</v>
      </c>
      <c r="L29" s="2">
        <v>2880</v>
      </c>
      <c r="M29" s="2">
        <v>2500</v>
      </c>
      <c r="N29" s="2">
        <v>2691</v>
      </c>
      <c r="O29" s="2"/>
      <c r="P29" s="2">
        <v>3000</v>
      </c>
      <c r="Q29" s="2">
        <v>3000</v>
      </c>
      <c r="R29" s="2">
        <v>3000</v>
      </c>
      <c r="S29" s="2">
        <v>2900</v>
      </c>
      <c r="T29" s="2">
        <v>2900</v>
      </c>
      <c r="U29" s="89"/>
    </row>
    <row r="30" spans="1:21" ht="12.75">
      <c r="A30" t="s">
        <v>368</v>
      </c>
      <c r="B30" s="4">
        <v>52.38</v>
      </c>
      <c r="C30" s="2"/>
      <c r="D30" s="2"/>
      <c r="E30" s="2">
        <v>7850</v>
      </c>
      <c r="F30" s="2"/>
      <c r="G30" s="2">
        <v>8100</v>
      </c>
      <c r="H30" s="2">
        <v>8100</v>
      </c>
      <c r="I30" s="2">
        <v>8100</v>
      </c>
      <c r="J30" s="2">
        <v>8100</v>
      </c>
      <c r="K30" s="2">
        <v>8100</v>
      </c>
      <c r="L30" s="2">
        <v>8100</v>
      </c>
      <c r="M30" s="2">
        <v>9500</v>
      </c>
      <c r="N30" s="2">
        <v>9500</v>
      </c>
      <c r="O30" s="2">
        <v>10900</v>
      </c>
      <c r="P30" s="2">
        <v>10900</v>
      </c>
      <c r="Q30" s="2">
        <v>10900</v>
      </c>
      <c r="R30" s="2">
        <v>10900</v>
      </c>
      <c r="S30" s="2">
        <v>10900</v>
      </c>
      <c r="T30" s="2">
        <v>10900</v>
      </c>
      <c r="U30" s="89">
        <f t="shared" si="1"/>
        <v>0</v>
      </c>
    </row>
    <row r="31" spans="16:21" ht="12.75">
      <c r="P31" s="2"/>
      <c r="U31" s="89"/>
    </row>
    <row r="32" spans="1:21" ht="12.75">
      <c r="A32" t="s">
        <v>150</v>
      </c>
      <c r="B32" s="4">
        <v>53.12</v>
      </c>
      <c r="K32" s="2">
        <v>456</v>
      </c>
      <c r="L32" s="2">
        <v>2176</v>
      </c>
      <c r="M32" s="2">
        <v>2393</v>
      </c>
      <c r="N32" s="2">
        <v>2281</v>
      </c>
      <c r="O32" s="2">
        <v>1951</v>
      </c>
      <c r="P32" s="2">
        <f t="shared" si="0"/>
        <v>2601.333333333333</v>
      </c>
      <c r="Q32" s="2">
        <v>2300</v>
      </c>
      <c r="R32" s="2">
        <v>3000</v>
      </c>
      <c r="S32" s="2">
        <v>2800</v>
      </c>
      <c r="T32" s="2">
        <v>2800</v>
      </c>
      <c r="U32" s="89"/>
    </row>
    <row r="33" spans="1:21" ht="12.75">
      <c r="A33" t="s">
        <v>201</v>
      </c>
      <c r="B33" s="4">
        <v>53.1702</v>
      </c>
      <c r="C33">
        <v>16</v>
      </c>
      <c r="D33">
        <v>430</v>
      </c>
      <c r="E33" s="2">
        <v>1259</v>
      </c>
      <c r="F33" s="2">
        <v>781</v>
      </c>
      <c r="G33" s="2">
        <v>391</v>
      </c>
      <c r="H33" s="2">
        <v>555</v>
      </c>
      <c r="I33" s="2">
        <f>431+253</f>
        <v>684</v>
      </c>
      <c r="J33" s="2">
        <v>706</v>
      </c>
      <c r="K33" s="2">
        <v>766</v>
      </c>
      <c r="L33" s="2">
        <v>658</v>
      </c>
      <c r="M33" s="2">
        <v>462</v>
      </c>
      <c r="N33" s="2">
        <v>439</v>
      </c>
      <c r="O33" s="2">
        <v>329</v>
      </c>
      <c r="P33" s="2">
        <f t="shared" si="0"/>
        <v>438.6666666666667</v>
      </c>
      <c r="Q33" s="2">
        <v>600</v>
      </c>
      <c r="R33" s="2">
        <v>600</v>
      </c>
      <c r="S33" s="2">
        <v>600</v>
      </c>
      <c r="T33" s="2">
        <v>600</v>
      </c>
      <c r="U33" s="89">
        <f t="shared" si="1"/>
        <v>0</v>
      </c>
    </row>
    <row r="34" spans="1:21" ht="12.75">
      <c r="A34" t="s">
        <v>175</v>
      </c>
      <c r="B34" s="4">
        <v>53.1704</v>
      </c>
      <c r="C34" s="2">
        <v>560</v>
      </c>
      <c r="D34" s="2">
        <v>68</v>
      </c>
      <c r="E34" s="2">
        <v>409</v>
      </c>
      <c r="F34" s="2">
        <v>408</v>
      </c>
      <c r="G34" s="2">
        <v>199</v>
      </c>
      <c r="H34" s="2"/>
      <c r="I34" s="2">
        <v>102</v>
      </c>
      <c r="J34" s="2">
        <v>259</v>
      </c>
      <c r="K34" s="2">
        <v>30</v>
      </c>
      <c r="L34" s="2">
        <v>120</v>
      </c>
      <c r="M34" s="2">
        <v>12</v>
      </c>
      <c r="N34" s="2">
        <v>155</v>
      </c>
      <c r="O34" s="2">
        <v>181</v>
      </c>
      <c r="P34" s="2">
        <f t="shared" si="0"/>
        <v>241.33333333333331</v>
      </c>
      <c r="Q34" s="2">
        <v>200</v>
      </c>
      <c r="R34" s="2">
        <v>200</v>
      </c>
      <c r="S34" s="2">
        <v>200</v>
      </c>
      <c r="T34" s="2">
        <v>200</v>
      </c>
      <c r="U34" s="89">
        <f t="shared" si="1"/>
        <v>0</v>
      </c>
    </row>
    <row r="35" spans="1:22" ht="12.75">
      <c r="A35" t="s">
        <v>242</v>
      </c>
      <c r="B35" s="4">
        <v>53.1706</v>
      </c>
      <c r="C35" s="2">
        <v>20084</v>
      </c>
      <c r="D35" s="2">
        <v>18199</v>
      </c>
      <c r="E35" s="2">
        <v>18246</v>
      </c>
      <c r="F35" s="2">
        <v>16894</v>
      </c>
      <c r="G35" s="2">
        <v>17593</v>
      </c>
      <c r="H35" s="2">
        <v>19716</v>
      </c>
      <c r="I35" s="2">
        <f>16881+461</f>
        <v>17342</v>
      </c>
      <c r="J35" s="2">
        <v>23910</v>
      </c>
      <c r="K35" s="2">
        <f>22379+239</f>
        <v>22618</v>
      </c>
      <c r="L35" s="2">
        <f>24761+323</f>
        <v>25084</v>
      </c>
      <c r="M35" s="2">
        <v>31232</v>
      </c>
      <c r="N35" s="2">
        <v>25150</v>
      </c>
      <c r="O35" s="2">
        <v>16691</v>
      </c>
      <c r="P35" s="2">
        <f t="shared" si="0"/>
        <v>22254.666666666668</v>
      </c>
      <c r="Q35" s="2">
        <v>25000</v>
      </c>
      <c r="R35" s="2">
        <v>25000</v>
      </c>
      <c r="S35" s="2">
        <v>25000</v>
      </c>
      <c r="T35" s="2">
        <v>25000</v>
      </c>
      <c r="U35" s="89">
        <f t="shared" si="1"/>
        <v>0</v>
      </c>
      <c r="V35" s="10"/>
    </row>
    <row r="36" spans="1:21" ht="12.75">
      <c r="A36" t="s">
        <v>151</v>
      </c>
      <c r="B36" s="4">
        <v>53.171</v>
      </c>
      <c r="C36" s="2">
        <v>4252</v>
      </c>
      <c r="D36" s="2">
        <v>2371</v>
      </c>
      <c r="E36" s="2">
        <v>3954</v>
      </c>
      <c r="F36" s="2">
        <v>4250</v>
      </c>
      <c r="G36" s="2">
        <v>2707</v>
      </c>
      <c r="H36" s="2">
        <v>2825</v>
      </c>
      <c r="I36" s="2">
        <f>1967+308</f>
        <v>2275</v>
      </c>
      <c r="J36" s="2">
        <v>1855</v>
      </c>
      <c r="K36" s="2">
        <f>1617+666</f>
        <v>2283</v>
      </c>
      <c r="L36" s="2">
        <v>2482</v>
      </c>
      <c r="M36" s="2">
        <v>1346</v>
      </c>
      <c r="N36" s="2">
        <v>1669</v>
      </c>
      <c r="O36" s="2">
        <v>2049</v>
      </c>
      <c r="P36" s="2">
        <f t="shared" si="0"/>
        <v>2732</v>
      </c>
      <c r="Q36" s="2">
        <v>2000</v>
      </c>
      <c r="R36" s="2">
        <v>2000</v>
      </c>
      <c r="S36" s="2">
        <v>2000</v>
      </c>
      <c r="T36" s="2">
        <v>2000</v>
      </c>
      <c r="U36" s="89">
        <f t="shared" si="1"/>
        <v>0</v>
      </c>
    </row>
    <row r="37" spans="1:21" ht="12.75" hidden="1">
      <c r="A37" t="s">
        <v>623</v>
      </c>
      <c r="B37" s="4">
        <v>53.1727</v>
      </c>
      <c r="C37" s="2"/>
      <c r="D37" s="2"/>
      <c r="E37" s="2"/>
      <c r="F37" s="2"/>
      <c r="G37" s="2"/>
      <c r="H37" s="2"/>
      <c r="I37" s="2"/>
      <c r="J37" s="2">
        <v>1103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89"/>
    </row>
    <row r="38" spans="1:21" ht="12.75">
      <c r="A38" t="s">
        <v>227</v>
      </c>
      <c r="B38" s="4">
        <v>53.173</v>
      </c>
      <c r="C38" s="2">
        <v>5717</v>
      </c>
      <c r="D38" s="2">
        <v>6477</v>
      </c>
      <c r="E38" s="2">
        <v>5878</v>
      </c>
      <c r="F38" s="2">
        <v>6229</v>
      </c>
      <c r="G38" s="2">
        <v>5779</v>
      </c>
      <c r="H38" s="2">
        <v>5599</v>
      </c>
      <c r="I38" s="2">
        <v>4843</v>
      </c>
      <c r="J38" s="2">
        <v>6345</v>
      </c>
      <c r="K38" s="2">
        <f>7165+884</f>
        <v>8049</v>
      </c>
      <c r="L38" s="2">
        <v>7925</v>
      </c>
      <c r="M38" s="2">
        <v>7519</v>
      </c>
      <c r="N38" s="2">
        <v>8315</v>
      </c>
      <c r="O38" s="2">
        <v>6090</v>
      </c>
      <c r="P38" s="2">
        <v>8000</v>
      </c>
      <c r="Q38" s="2">
        <v>8000</v>
      </c>
      <c r="R38" s="2">
        <v>8000</v>
      </c>
      <c r="S38" s="2">
        <v>8000</v>
      </c>
      <c r="T38" s="2">
        <v>8000</v>
      </c>
      <c r="U38" s="89">
        <f t="shared" si="1"/>
        <v>0</v>
      </c>
    </row>
    <row r="39" spans="1:21" ht="12.75">
      <c r="A39" t="s">
        <v>189</v>
      </c>
      <c r="B39" s="4">
        <v>53.175</v>
      </c>
      <c r="C39" s="2">
        <v>7281</v>
      </c>
      <c r="D39" s="2">
        <v>8432</v>
      </c>
      <c r="E39" s="2">
        <v>6194</v>
      </c>
      <c r="F39" s="2">
        <v>9604</v>
      </c>
      <c r="G39" s="2">
        <v>6092</v>
      </c>
      <c r="H39" s="2">
        <v>5563</v>
      </c>
      <c r="I39" s="2">
        <v>8891</v>
      </c>
      <c r="J39" s="2">
        <v>4457</v>
      </c>
      <c r="K39" s="2">
        <v>6972</v>
      </c>
      <c r="L39" s="2">
        <v>9974</v>
      </c>
      <c r="M39" s="2">
        <v>14692</v>
      </c>
      <c r="N39" s="2">
        <v>16402</v>
      </c>
      <c r="O39" s="2">
        <v>4701</v>
      </c>
      <c r="P39" s="2">
        <f t="shared" si="0"/>
        <v>6268</v>
      </c>
      <c r="Q39" s="2">
        <v>12000</v>
      </c>
      <c r="R39" s="2">
        <v>12000</v>
      </c>
      <c r="S39" s="2">
        <v>12000</v>
      </c>
      <c r="T39" s="2">
        <v>12000</v>
      </c>
      <c r="U39" s="89">
        <f t="shared" si="1"/>
        <v>0</v>
      </c>
    </row>
    <row r="40" spans="1:21" ht="12.75">
      <c r="A40" t="s">
        <v>178</v>
      </c>
      <c r="B40" s="4">
        <v>53.176</v>
      </c>
      <c r="C40" s="2">
        <v>511</v>
      </c>
      <c r="D40" s="2">
        <v>815</v>
      </c>
      <c r="E40" s="2">
        <v>827</v>
      </c>
      <c r="F40" s="2">
        <v>694</v>
      </c>
      <c r="G40" s="2">
        <v>615</v>
      </c>
      <c r="H40" s="2">
        <v>462</v>
      </c>
      <c r="I40" s="2">
        <v>380</v>
      </c>
      <c r="J40" s="2">
        <v>887</v>
      </c>
      <c r="K40" s="2">
        <v>704</v>
      </c>
      <c r="L40" s="2">
        <v>1018</v>
      </c>
      <c r="M40" s="2">
        <v>961</v>
      </c>
      <c r="N40" s="2">
        <v>801</v>
      </c>
      <c r="O40" s="2">
        <v>1697</v>
      </c>
      <c r="P40" s="2">
        <f t="shared" si="0"/>
        <v>2262.6666666666665</v>
      </c>
      <c r="Q40" s="2">
        <v>1000</v>
      </c>
      <c r="R40" s="2">
        <v>3200</v>
      </c>
      <c r="S40" s="2">
        <v>2400</v>
      </c>
      <c r="T40" s="2">
        <v>2400</v>
      </c>
      <c r="U40" s="89">
        <f t="shared" si="1"/>
        <v>1.4</v>
      </c>
    </row>
    <row r="41" spans="1:21" ht="12.75">
      <c r="A41" t="s">
        <v>179</v>
      </c>
      <c r="B41" s="4">
        <v>53.177</v>
      </c>
      <c r="C41" s="2">
        <v>1239</v>
      </c>
      <c r="D41" s="2">
        <v>1323</v>
      </c>
      <c r="E41" s="2">
        <v>1798</v>
      </c>
      <c r="F41" s="2">
        <v>1163</v>
      </c>
      <c r="G41" s="2">
        <v>893</v>
      </c>
      <c r="H41" s="2">
        <v>1303</v>
      </c>
      <c r="I41" s="2">
        <v>1531</v>
      </c>
      <c r="J41" s="2">
        <v>3311</v>
      </c>
      <c r="K41" s="2">
        <v>3842</v>
      </c>
      <c r="L41" s="2">
        <v>4152</v>
      </c>
      <c r="M41" s="2">
        <v>3282</v>
      </c>
      <c r="N41" s="2">
        <v>3310</v>
      </c>
      <c r="O41" s="2">
        <v>4237</v>
      </c>
      <c r="P41" s="2">
        <f t="shared" si="0"/>
        <v>5649.333333333333</v>
      </c>
      <c r="Q41" s="2">
        <v>3000</v>
      </c>
      <c r="R41" s="2">
        <v>4000</v>
      </c>
      <c r="S41" s="2">
        <v>3500</v>
      </c>
      <c r="T41" s="2">
        <v>3500</v>
      </c>
      <c r="U41" s="89">
        <f t="shared" si="1"/>
        <v>0.16666666666666666</v>
      </c>
    </row>
    <row r="42" spans="1:21" ht="12.75">
      <c r="A42" t="s">
        <v>192</v>
      </c>
      <c r="B42" s="4">
        <v>53.178</v>
      </c>
      <c r="C42" s="2">
        <v>572</v>
      </c>
      <c r="D42" s="2">
        <v>623</v>
      </c>
      <c r="E42" s="2">
        <v>726</v>
      </c>
      <c r="F42" s="2">
        <v>479</v>
      </c>
      <c r="G42" s="2">
        <v>274</v>
      </c>
      <c r="H42" s="2">
        <v>420</v>
      </c>
      <c r="I42" s="2">
        <v>428</v>
      </c>
      <c r="J42" s="2">
        <v>427</v>
      </c>
      <c r="K42" s="2">
        <v>1194</v>
      </c>
      <c r="L42" s="2">
        <v>280</v>
      </c>
      <c r="M42" s="2">
        <v>491</v>
      </c>
      <c r="N42" s="2">
        <v>786</v>
      </c>
      <c r="O42" s="2">
        <v>4477</v>
      </c>
      <c r="P42" s="2">
        <f t="shared" si="0"/>
        <v>5969.333333333334</v>
      </c>
      <c r="Q42" s="2">
        <v>500</v>
      </c>
      <c r="R42" s="2">
        <v>500</v>
      </c>
      <c r="S42" s="2">
        <v>500</v>
      </c>
      <c r="T42" s="2">
        <v>500</v>
      </c>
      <c r="U42" s="89">
        <f t="shared" si="1"/>
        <v>0</v>
      </c>
    </row>
    <row r="43" spans="1:21" ht="12.75">
      <c r="A43" t="s">
        <v>180</v>
      </c>
      <c r="B43" s="4">
        <v>53.179</v>
      </c>
      <c r="C43" s="2">
        <v>1174</v>
      </c>
      <c r="D43" s="2">
        <v>1009</v>
      </c>
      <c r="E43" s="2">
        <v>678</v>
      </c>
      <c r="F43" s="2">
        <v>4060</v>
      </c>
      <c r="G43" s="2">
        <v>848</v>
      </c>
      <c r="H43" s="2">
        <v>1175</v>
      </c>
      <c r="I43" s="2">
        <v>1593</v>
      </c>
      <c r="J43" s="2">
        <v>2273</v>
      </c>
      <c r="K43" s="2">
        <v>2586</v>
      </c>
      <c r="L43" s="2">
        <v>3648</v>
      </c>
      <c r="M43" s="2">
        <v>1864</v>
      </c>
      <c r="N43" s="2">
        <v>2408</v>
      </c>
      <c r="O43" s="2">
        <v>2715</v>
      </c>
      <c r="P43" s="2">
        <f t="shared" si="0"/>
        <v>3620</v>
      </c>
      <c r="Q43" s="2">
        <v>2500</v>
      </c>
      <c r="R43" s="2">
        <v>2800</v>
      </c>
      <c r="S43" s="2">
        <v>2800</v>
      </c>
      <c r="T43" s="2">
        <v>2800</v>
      </c>
      <c r="U43" s="89">
        <f t="shared" si="1"/>
        <v>0.12</v>
      </c>
    </row>
    <row r="44" spans="1:21" ht="12.75">
      <c r="A44" t="s">
        <v>241</v>
      </c>
      <c r="B44" s="4">
        <v>53.18</v>
      </c>
      <c r="C44" s="2">
        <v>3283</v>
      </c>
      <c r="D44" s="2">
        <v>5753</v>
      </c>
      <c r="E44" s="2">
        <v>6580</v>
      </c>
      <c r="F44" s="2">
        <v>4956</v>
      </c>
      <c r="G44" s="2">
        <v>6813</v>
      </c>
      <c r="H44" s="2">
        <v>8735</v>
      </c>
      <c r="I44" s="2">
        <v>14691</v>
      </c>
      <c r="J44" s="2">
        <v>20173</v>
      </c>
      <c r="K44" s="2">
        <v>21855</v>
      </c>
      <c r="L44" s="2">
        <v>37796</v>
      </c>
      <c r="M44" s="2">
        <v>21261</v>
      </c>
      <c r="N44" s="2">
        <v>28121</v>
      </c>
      <c r="O44" s="2">
        <v>26585</v>
      </c>
      <c r="P44" s="2">
        <f t="shared" si="0"/>
        <v>35446.666666666664</v>
      </c>
      <c r="Q44" s="2">
        <v>25000</v>
      </c>
      <c r="R44" s="2">
        <v>49000</v>
      </c>
      <c r="S44" s="2">
        <v>37000</v>
      </c>
      <c r="T44" s="2">
        <v>37000</v>
      </c>
      <c r="U44" s="89">
        <f t="shared" si="1"/>
        <v>0.48</v>
      </c>
    </row>
    <row r="45" spans="1:21" ht="12.75">
      <c r="A45" t="s">
        <v>896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292</v>
      </c>
      <c r="M45" s="2"/>
      <c r="N45" s="2"/>
      <c r="O45" s="2"/>
      <c r="P45" s="2"/>
      <c r="Q45" s="2"/>
      <c r="R45" s="2"/>
      <c r="S45" s="2"/>
      <c r="T45" s="2"/>
      <c r="U45" s="89"/>
    </row>
    <row r="46" spans="2:21" ht="12.75"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9"/>
    </row>
    <row r="47" spans="1:21" ht="12.75">
      <c r="A47" t="s">
        <v>371</v>
      </c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490</v>
      </c>
      <c r="P47" s="2">
        <v>490</v>
      </c>
      <c r="Q47" s="2"/>
      <c r="R47" s="2"/>
      <c r="S47" s="2"/>
      <c r="T47" s="2"/>
      <c r="U47" s="89"/>
    </row>
    <row r="48" spans="1:22" ht="12.75">
      <c r="A48" t="s">
        <v>369</v>
      </c>
      <c r="B48" s="4">
        <v>54.22</v>
      </c>
      <c r="C48" s="2"/>
      <c r="D48" s="2"/>
      <c r="E48" s="2">
        <v>21907</v>
      </c>
      <c r="F48" s="2">
        <v>1800</v>
      </c>
      <c r="G48" s="2">
        <v>59732</v>
      </c>
      <c r="H48" s="2">
        <v>62046</v>
      </c>
      <c r="I48" s="2">
        <v>62304</v>
      </c>
      <c r="J48" s="2"/>
      <c r="K48" s="2">
        <v>1446</v>
      </c>
      <c r="L48" s="2">
        <f>108442+1299</f>
        <v>109741</v>
      </c>
      <c r="M48" s="2">
        <v>40071</v>
      </c>
      <c r="N48" s="2">
        <v>210328</v>
      </c>
      <c r="O48" s="2">
        <v>2520</v>
      </c>
      <c r="P48" s="2">
        <v>120000</v>
      </c>
      <c r="Q48" s="20">
        <v>120000</v>
      </c>
      <c r="R48" s="20">
        <v>120000</v>
      </c>
      <c r="S48" s="20">
        <v>120000</v>
      </c>
      <c r="T48" s="20">
        <v>120000</v>
      </c>
      <c r="U48" s="89"/>
      <c r="V48" t="s">
        <v>579</v>
      </c>
    </row>
    <row r="49" spans="1:21" ht="12.75" hidden="1">
      <c r="A49" t="s">
        <v>580</v>
      </c>
      <c r="B49" s="4"/>
      <c r="C49" s="2"/>
      <c r="D49" s="2"/>
      <c r="E49" s="2"/>
      <c r="F49" s="2"/>
      <c r="G49" s="2"/>
      <c r="H49" s="2"/>
      <c r="I49" s="2"/>
      <c r="J49" s="2"/>
      <c r="K49" s="2">
        <v>150</v>
      </c>
      <c r="L49" s="2"/>
      <c r="M49" s="2"/>
      <c r="N49" s="2"/>
      <c r="O49" s="2"/>
      <c r="P49" s="2"/>
      <c r="Q49" s="2"/>
      <c r="R49" s="2"/>
      <c r="S49" s="2"/>
      <c r="T49" s="2"/>
      <c r="U49" s="89"/>
    </row>
    <row r="50" spans="1:21" ht="12.75" hidden="1">
      <c r="A50" t="s">
        <v>581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9"/>
    </row>
    <row r="51" spans="1:21" ht="12.75" hidden="1">
      <c r="A51" t="s">
        <v>639</v>
      </c>
      <c r="B51" s="4">
        <v>54.23</v>
      </c>
      <c r="C51" s="2"/>
      <c r="D51" s="2"/>
      <c r="E51" s="2"/>
      <c r="F51" s="2"/>
      <c r="G51" s="2"/>
      <c r="H51" s="2"/>
      <c r="I51" s="2"/>
      <c r="J51" s="2">
        <v>2536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89"/>
    </row>
    <row r="52" spans="1:22" ht="12.75" hidden="1">
      <c r="A52" t="s">
        <v>794</v>
      </c>
      <c r="B52" s="4"/>
      <c r="C52" s="2"/>
      <c r="D52" s="2"/>
      <c r="E52" s="2"/>
      <c r="F52" s="2"/>
      <c r="G52" s="2"/>
      <c r="H52" s="2"/>
      <c r="I52" s="2"/>
      <c r="J52" s="2"/>
      <c r="K52" s="2">
        <v>42688</v>
      </c>
      <c r="L52" s="2"/>
      <c r="M52" s="2"/>
      <c r="N52" s="2"/>
      <c r="O52" s="2"/>
      <c r="P52" s="2"/>
      <c r="Q52" s="2"/>
      <c r="R52" s="2"/>
      <c r="S52" s="2"/>
      <c r="T52" s="2"/>
      <c r="U52" s="89"/>
      <c r="V52" s="6"/>
    </row>
    <row r="53" spans="1:21" ht="12.75" hidden="1">
      <c r="A53" t="s">
        <v>978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9"/>
    </row>
    <row r="54" spans="1:21" ht="12.75" hidden="1">
      <c r="A54" t="s">
        <v>638</v>
      </c>
      <c r="B54" s="4">
        <v>54.2623</v>
      </c>
      <c r="C54" s="2"/>
      <c r="D54" s="2"/>
      <c r="E54" s="2"/>
      <c r="F54" s="2"/>
      <c r="G54" s="2"/>
      <c r="H54" s="2"/>
      <c r="I54" s="2"/>
      <c r="J54" s="2">
        <v>67577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89"/>
    </row>
    <row r="55" spans="1:21" ht="12.75" hidden="1">
      <c r="A55" t="s">
        <v>371</v>
      </c>
      <c r="B55" s="4">
        <v>54.25</v>
      </c>
      <c r="C55" s="2"/>
      <c r="D55" s="2"/>
      <c r="E55" s="2"/>
      <c r="F55" s="2">
        <v>13326</v>
      </c>
      <c r="G55" s="2"/>
      <c r="H55" s="2"/>
      <c r="I55" s="2">
        <v>4145</v>
      </c>
      <c r="J55" s="2">
        <v>2805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89"/>
    </row>
    <row r="56" spans="1:21" ht="11.25" customHeight="1" hidden="1">
      <c r="A56" t="s">
        <v>339</v>
      </c>
      <c r="B56" s="4">
        <v>54.26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9"/>
    </row>
    <row r="57" spans="1:22" ht="12.75" hidden="1">
      <c r="A57" t="s">
        <v>712</v>
      </c>
      <c r="B57" s="4">
        <v>54.2621</v>
      </c>
      <c r="C57" s="2"/>
      <c r="D57" s="2"/>
      <c r="E57" s="2"/>
      <c r="F57" s="2"/>
      <c r="G57" s="2"/>
      <c r="H57" s="2"/>
      <c r="I57" s="2"/>
      <c r="J57" s="2">
        <v>7470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89"/>
      <c r="V57" t="s">
        <v>743</v>
      </c>
    </row>
    <row r="58" spans="1:22" ht="12.75" hidden="1">
      <c r="A58" t="s">
        <v>194</v>
      </c>
      <c r="B58" s="4">
        <v>58.12</v>
      </c>
      <c r="C58" s="2"/>
      <c r="D58" s="2">
        <v>36592</v>
      </c>
      <c r="E58" s="2">
        <v>3048</v>
      </c>
      <c r="F58" s="2">
        <v>106214</v>
      </c>
      <c r="G58" s="2">
        <v>45774</v>
      </c>
      <c r="H58" s="2">
        <v>24046</v>
      </c>
      <c r="I58" s="2">
        <v>24046</v>
      </c>
      <c r="J58" s="2">
        <v>24050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89" t="e">
        <f t="shared" si="1"/>
        <v>#DIV/0!</v>
      </c>
      <c r="V58" s="33"/>
    </row>
    <row r="59" spans="1:21" ht="12.75">
      <c r="A59" t="s">
        <v>229</v>
      </c>
      <c r="B59" s="4"/>
      <c r="C59" s="2"/>
      <c r="D59" s="2"/>
      <c r="E59" s="2"/>
      <c r="F59" s="2"/>
      <c r="G59" s="2"/>
      <c r="H59" s="2"/>
      <c r="I59" s="2"/>
      <c r="J59" s="2"/>
      <c r="K59" s="2">
        <v>8100</v>
      </c>
      <c r="L59" s="2"/>
      <c r="M59" s="2"/>
      <c r="N59" s="2"/>
      <c r="O59" s="2"/>
      <c r="P59" s="2"/>
      <c r="Q59" s="2"/>
      <c r="R59" s="2"/>
      <c r="S59" s="2"/>
      <c r="T59" s="2"/>
      <c r="U59" s="51"/>
    </row>
    <row r="60" spans="1:21" ht="12.75">
      <c r="A60" s="6" t="s">
        <v>119</v>
      </c>
      <c r="B60" s="6"/>
      <c r="C60" s="8">
        <f aca="true" t="shared" si="2" ref="C60:I60">SUM(C7:C59)</f>
        <v>738226</v>
      </c>
      <c r="D60" s="8">
        <f t="shared" si="2"/>
        <v>844120</v>
      </c>
      <c r="E60" s="8">
        <f t="shared" si="2"/>
        <v>894550</v>
      </c>
      <c r="F60" s="8">
        <f t="shared" si="2"/>
        <v>991800</v>
      </c>
      <c r="G60" s="8">
        <f t="shared" si="2"/>
        <v>954749</v>
      </c>
      <c r="H60" s="8">
        <f t="shared" si="2"/>
        <v>937487</v>
      </c>
      <c r="I60" s="8">
        <f t="shared" si="2"/>
        <v>956078</v>
      </c>
      <c r="J60" s="8">
        <v>1325312</v>
      </c>
      <c r="K60" s="8">
        <f>SUM(K7:K59)</f>
        <v>1402333</v>
      </c>
      <c r="L60" s="8">
        <v>1643752</v>
      </c>
      <c r="M60" s="8">
        <v>1589314</v>
      </c>
      <c r="N60" s="8">
        <v>1803631</v>
      </c>
      <c r="O60" s="8">
        <f aca="true" t="shared" si="3" ref="O60:T60">SUM(O7:O59)</f>
        <v>1247934</v>
      </c>
      <c r="P60" s="8">
        <f t="shared" si="3"/>
        <v>1799041.3333333333</v>
      </c>
      <c r="Q60" s="8">
        <f t="shared" si="3"/>
        <v>1717833.94577</v>
      </c>
      <c r="R60" s="8">
        <f t="shared" si="3"/>
        <v>1841958.54375</v>
      </c>
      <c r="S60" s="8">
        <f t="shared" si="3"/>
        <v>1797770.082</v>
      </c>
      <c r="T60" s="8">
        <f t="shared" si="3"/>
        <v>1797770.082</v>
      </c>
      <c r="U60" s="52">
        <f t="shared" si="1"/>
        <v>0.04653309851446051</v>
      </c>
    </row>
    <row r="61" ht="12.75">
      <c r="U61" s="51"/>
    </row>
    <row r="62" spans="17:21" ht="12.75">
      <c r="Q62" s="22" t="s">
        <v>484</v>
      </c>
      <c r="R62" s="22"/>
      <c r="S62" s="55">
        <f>R60-S60</f>
        <v>44188.46175000002</v>
      </c>
      <c r="U62" s="51"/>
    </row>
    <row r="63" spans="1:19" ht="12.75">
      <c r="A63" s="6"/>
      <c r="Q63" s="22" t="s">
        <v>725</v>
      </c>
      <c r="R63" s="22"/>
      <c r="S63" s="55">
        <f>Q60-S60</f>
        <v>-79936.13622999983</v>
      </c>
    </row>
    <row r="64" spans="17:19" ht="12.75">
      <c r="Q64" s="22" t="s">
        <v>432</v>
      </c>
      <c r="R64" s="22"/>
      <c r="S64" s="55">
        <f>S60-T60</f>
        <v>0</v>
      </c>
    </row>
    <row r="65" spans="1:19" ht="12.75">
      <c r="A65" s="22" t="s">
        <v>1053</v>
      </c>
      <c r="Q65" s="22"/>
      <c r="R65" s="22"/>
      <c r="S65" s="55"/>
    </row>
    <row r="66" spans="1:19" ht="12.75">
      <c r="A66" t="s">
        <v>1054</v>
      </c>
      <c r="Q66" s="22"/>
      <c r="R66" s="22"/>
      <c r="S66" s="55"/>
    </row>
    <row r="67" ht="12.75">
      <c r="A67" t="s">
        <v>11</v>
      </c>
    </row>
    <row r="68" ht="12.75">
      <c r="A68" t="s">
        <v>12</v>
      </c>
    </row>
    <row r="69" ht="12.75">
      <c r="A69" t="s">
        <v>13</v>
      </c>
    </row>
    <row r="70" ht="12.75">
      <c r="A70" s="22" t="s">
        <v>1103</v>
      </c>
    </row>
    <row r="71" spans="1:16" ht="12.75">
      <c r="A71" t="s">
        <v>744</v>
      </c>
      <c r="I71" s="42">
        <v>376838</v>
      </c>
      <c r="J71" s="42">
        <v>507965</v>
      </c>
      <c r="K71" s="42">
        <v>553653</v>
      </c>
      <c r="L71" s="42">
        <v>579209</v>
      </c>
      <c r="M71" s="42">
        <v>705288</v>
      </c>
      <c r="N71" s="42">
        <v>737415</v>
      </c>
      <c r="O71" s="18">
        <v>664000</v>
      </c>
      <c r="P71" s="2">
        <f>+O71/$O$3*12</f>
        <v>885333.3333333334</v>
      </c>
    </row>
    <row r="72" spans="1:16" ht="12.75">
      <c r="A72" t="s">
        <v>952</v>
      </c>
      <c r="I72" s="42"/>
      <c r="J72" s="42"/>
      <c r="K72" s="155">
        <f aca="true" t="shared" si="4" ref="K72:P72">K71/K60</f>
        <v>0.39480850839279974</v>
      </c>
      <c r="L72" s="155">
        <f t="shared" si="4"/>
        <v>0.3523700655573347</v>
      </c>
      <c r="M72" s="155">
        <f t="shared" si="4"/>
        <v>0.44376882101334286</v>
      </c>
      <c r="N72" s="155">
        <f t="shared" si="4"/>
        <v>0.40885025817365084</v>
      </c>
      <c r="O72" s="155">
        <f t="shared" si="4"/>
        <v>0.5320794208668087</v>
      </c>
      <c r="P72" s="155">
        <f t="shared" si="4"/>
        <v>0.49211394809531894</v>
      </c>
    </row>
    <row r="76" ht="12.75">
      <c r="B76" s="4"/>
    </row>
    <row r="77" spans="1:2" ht="12.75">
      <c r="A77" s="16"/>
      <c r="B77" s="18"/>
    </row>
    <row r="78" spans="1:20" ht="12.75">
      <c r="A78" s="16"/>
      <c r="R78" s="17"/>
      <c r="S78" s="17"/>
      <c r="T78" s="17"/>
    </row>
    <row r="80" ht="12.75">
      <c r="B80" s="4"/>
    </row>
    <row r="81" ht="12.75">
      <c r="A81" s="16"/>
    </row>
    <row r="82" spans="1:20" ht="12.75">
      <c r="A82" s="16"/>
      <c r="R82" s="17"/>
      <c r="S82" s="17"/>
      <c r="T82" s="17"/>
    </row>
    <row r="85" ht="12.75">
      <c r="A85" s="16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119" spans="3:2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V88"/>
  <sheetViews>
    <sheetView zoomScale="75" zoomScaleNormal="75" workbookViewId="0" topLeftCell="A1">
      <selection activeCell="T7" sqref="T7:T33"/>
    </sheetView>
  </sheetViews>
  <sheetFormatPr defaultColWidth="9.140625" defaultRowHeight="12.75"/>
  <cols>
    <col min="1" max="1" width="34.00390625" style="0" customWidth="1"/>
    <col min="3" max="4" width="11.7109375" style="0" hidden="1" customWidth="1"/>
    <col min="5" max="5" width="7.140625" style="0" hidden="1" customWidth="1"/>
    <col min="6" max="11" width="7.57421875" style="0" hidden="1" customWidth="1"/>
    <col min="12" max="14" width="7.57421875" style="0" customWidth="1"/>
    <col min="15" max="15" width="7.57421875" style="0" bestFit="1" customWidth="1"/>
    <col min="17" max="17" width="10.421875" style="0" customWidth="1"/>
    <col min="19" max="19" width="11.00390625" style="0" bestFit="1" customWidth="1"/>
    <col min="20" max="20" width="8.7109375" style="0" bestFit="1" customWidth="1"/>
    <col min="21" max="21" width="7.57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463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464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6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652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6207</v>
      </c>
      <c r="N7" s="2">
        <v>5906</v>
      </c>
      <c r="O7" s="2">
        <v>4014</v>
      </c>
      <c r="P7" s="2">
        <f>+O7/$O$3*12</f>
        <v>6021</v>
      </c>
      <c r="Q7" s="2">
        <v>5647</v>
      </c>
      <c r="R7" s="2">
        <v>5647</v>
      </c>
      <c r="S7" s="2">
        <v>5647</v>
      </c>
      <c r="T7" s="2">
        <v>5647</v>
      </c>
      <c r="U7" s="89">
        <f>(T7-Q7)/Q7</f>
        <v>0</v>
      </c>
    </row>
    <row r="8" spans="1:21" ht="12.75">
      <c r="A8" t="s">
        <v>646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2655</v>
      </c>
      <c r="N8" s="2">
        <v>4121</v>
      </c>
      <c r="O8" s="2">
        <v>2625</v>
      </c>
      <c r="P8" s="2">
        <f>+O8/$O$3*12</f>
        <v>3937.5</v>
      </c>
      <c r="Q8" s="20">
        <v>2500</v>
      </c>
      <c r="R8" s="20">
        <v>2500</v>
      </c>
      <c r="S8" s="20">
        <v>2500</v>
      </c>
      <c r="T8" s="20">
        <v>2500</v>
      </c>
      <c r="U8" s="89">
        <f>(T8-Q8)/Q8</f>
        <v>0</v>
      </c>
    </row>
    <row r="9" spans="1:21" ht="12.75">
      <c r="A9" t="s">
        <v>141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678</v>
      </c>
      <c r="N9" s="2">
        <v>762</v>
      </c>
      <c r="O9" s="2">
        <v>508</v>
      </c>
      <c r="P9" s="2">
        <f>+O9/$O$3*12</f>
        <v>762</v>
      </c>
      <c r="Q9" s="2">
        <f>(Q7+Q8)*0.0765</f>
        <v>623.2455</v>
      </c>
      <c r="R9" s="2">
        <f>(R7+R8)*0.0765</f>
        <v>623.2455</v>
      </c>
      <c r="S9" s="2">
        <f>(S7+S8)*0.0765</f>
        <v>623.2455</v>
      </c>
      <c r="T9" s="2">
        <v>623.2455</v>
      </c>
      <c r="U9" s="89">
        <f>(T9-Q9)/Q9</f>
        <v>0</v>
      </c>
    </row>
    <row r="10" spans="1:21" ht="12.75">
      <c r="A10" t="s">
        <v>1018</v>
      </c>
      <c r="B10" s="4">
        <v>51.27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65</v>
      </c>
      <c r="P10" s="2">
        <v>65</v>
      </c>
      <c r="Q10" s="2">
        <v>65</v>
      </c>
      <c r="R10" s="2">
        <v>75</v>
      </c>
      <c r="S10" s="2">
        <v>75</v>
      </c>
      <c r="T10" s="2">
        <v>75</v>
      </c>
      <c r="U10" s="89"/>
    </row>
    <row r="11" spans="2:21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9"/>
    </row>
    <row r="12" spans="1:21" ht="12.75">
      <c r="A12" t="s">
        <v>1021</v>
      </c>
      <c r="B12" s="4">
        <v>52.1216</v>
      </c>
      <c r="C12" s="2"/>
      <c r="D12" s="2"/>
      <c r="E12" s="2"/>
      <c r="F12" s="2"/>
      <c r="G12" s="2"/>
      <c r="H12" s="2"/>
      <c r="I12" s="2"/>
      <c r="J12" s="2">
        <v>634</v>
      </c>
      <c r="K12" s="2"/>
      <c r="L12" s="2">
        <v>347</v>
      </c>
      <c r="M12" s="2"/>
      <c r="N12" s="2"/>
      <c r="O12" s="2"/>
      <c r="P12" s="2">
        <v>300</v>
      </c>
      <c r="Q12" s="2">
        <v>300</v>
      </c>
      <c r="R12" s="2">
        <v>300</v>
      </c>
      <c r="S12" s="2"/>
      <c r="T12" s="2"/>
      <c r="U12" s="89"/>
    </row>
    <row r="13" spans="1:21" ht="12.75">
      <c r="A13" t="s">
        <v>675</v>
      </c>
      <c r="B13" s="4">
        <v>52.1255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950</v>
      </c>
      <c r="N13" s="2"/>
      <c r="O13" s="2"/>
      <c r="P13" s="2">
        <v>200</v>
      </c>
      <c r="Q13" s="2">
        <v>200</v>
      </c>
      <c r="R13" s="2">
        <v>500</v>
      </c>
      <c r="S13" s="2">
        <v>200</v>
      </c>
      <c r="T13" s="2">
        <v>200</v>
      </c>
      <c r="U13" s="89"/>
    </row>
    <row r="14" spans="1:21" ht="12.75" hidden="1">
      <c r="A14" t="s">
        <v>247</v>
      </c>
      <c r="B14" s="4">
        <v>52.1255</v>
      </c>
      <c r="C14" s="2">
        <v>727</v>
      </c>
      <c r="D14" s="2">
        <v>1050</v>
      </c>
      <c r="E14" s="2">
        <v>525</v>
      </c>
      <c r="F14" s="2">
        <v>1550</v>
      </c>
      <c r="G14" s="2">
        <v>75</v>
      </c>
      <c r="H14" s="2">
        <v>125</v>
      </c>
      <c r="I14" s="2"/>
      <c r="J14" s="2"/>
      <c r="K14" s="2">
        <v>250</v>
      </c>
      <c r="L14" s="2"/>
      <c r="M14" s="2"/>
      <c r="N14" s="2"/>
      <c r="O14" s="2"/>
      <c r="P14" s="2"/>
      <c r="Q14" s="2"/>
      <c r="R14" s="2"/>
      <c r="S14" s="2"/>
      <c r="T14" s="2"/>
      <c r="U14" s="89" t="e">
        <f aca="true" t="shared" si="0" ref="U14:U22">(T14-Q14)/Q14</f>
        <v>#DIV/0!</v>
      </c>
    </row>
    <row r="15" spans="1:21" ht="12.75">
      <c r="A15" t="s">
        <v>621</v>
      </c>
      <c r="B15" s="4">
        <v>52.1256</v>
      </c>
      <c r="C15" s="2"/>
      <c r="D15" s="2"/>
      <c r="E15" s="2"/>
      <c r="F15" s="2"/>
      <c r="G15" s="2"/>
      <c r="H15" s="2"/>
      <c r="I15" s="2">
        <v>965</v>
      </c>
      <c r="J15" s="2">
        <v>600</v>
      </c>
      <c r="K15" s="2"/>
      <c r="L15" s="2">
        <v>413</v>
      </c>
      <c r="M15" s="2"/>
      <c r="N15" s="2"/>
      <c r="O15" s="2"/>
      <c r="P15" s="2">
        <v>300</v>
      </c>
      <c r="Q15" s="2">
        <v>300</v>
      </c>
      <c r="R15" s="2">
        <v>400</v>
      </c>
      <c r="S15" s="2"/>
      <c r="T15" s="2"/>
      <c r="U15" s="89"/>
    </row>
    <row r="16" spans="1:21" ht="12.75">
      <c r="A16" t="s">
        <v>248</v>
      </c>
      <c r="B16" s="4">
        <v>52.1318</v>
      </c>
      <c r="C16" s="2">
        <v>216</v>
      </c>
      <c r="D16" s="2">
        <v>299</v>
      </c>
      <c r="E16" s="2">
        <v>196</v>
      </c>
      <c r="F16" s="2">
        <v>354</v>
      </c>
      <c r="G16" s="2">
        <v>195</v>
      </c>
      <c r="H16" s="2">
        <v>134</v>
      </c>
      <c r="I16" s="2">
        <v>135</v>
      </c>
      <c r="J16" s="2">
        <v>183</v>
      </c>
      <c r="K16" s="2">
        <v>23</v>
      </c>
      <c r="L16" s="2">
        <v>360</v>
      </c>
      <c r="M16" s="2">
        <v>175</v>
      </c>
      <c r="N16" s="2">
        <v>121</v>
      </c>
      <c r="O16" s="2"/>
      <c r="P16" s="2">
        <v>300</v>
      </c>
      <c r="Q16" s="2">
        <v>300</v>
      </c>
      <c r="R16" s="2"/>
      <c r="S16" s="2">
        <v>300</v>
      </c>
      <c r="T16" s="2">
        <v>300</v>
      </c>
      <c r="U16" s="89">
        <f t="shared" si="0"/>
        <v>0</v>
      </c>
    </row>
    <row r="17" spans="1:21" ht="12.75">
      <c r="A17" t="s">
        <v>50</v>
      </c>
      <c r="B17" s="4">
        <v>52.1337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940</v>
      </c>
      <c r="O17" s="2"/>
      <c r="P17" s="2"/>
      <c r="Q17" s="2"/>
      <c r="R17" s="2"/>
      <c r="S17" s="2"/>
      <c r="T17" s="2"/>
      <c r="U17" s="89"/>
    </row>
    <row r="18" spans="1:21" ht="12.75">
      <c r="A18" t="s">
        <v>572</v>
      </c>
      <c r="B18" s="4">
        <v>52.2206</v>
      </c>
      <c r="C18" s="2"/>
      <c r="D18" s="2"/>
      <c r="E18" s="2"/>
      <c r="F18" s="2"/>
      <c r="G18" s="2"/>
      <c r="H18" s="2">
        <v>300</v>
      </c>
      <c r="I18" s="2">
        <v>431</v>
      </c>
      <c r="J18" s="2"/>
      <c r="K18" s="2"/>
      <c r="L18" s="2"/>
      <c r="M18" s="2">
        <v>50</v>
      </c>
      <c r="N18" s="2"/>
      <c r="O18" s="2"/>
      <c r="P18" s="2"/>
      <c r="Q18" s="2"/>
      <c r="R18" s="2"/>
      <c r="S18" s="2"/>
      <c r="T18" s="2"/>
      <c r="U18" s="89"/>
    </row>
    <row r="19" spans="1:21" ht="12.75">
      <c r="A19" t="s">
        <v>143</v>
      </c>
      <c r="B19" s="4">
        <v>52.32</v>
      </c>
      <c r="C19" s="2">
        <v>484</v>
      </c>
      <c r="D19" s="2">
        <v>611</v>
      </c>
      <c r="E19" s="2">
        <v>383</v>
      </c>
      <c r="F19" s="2">
        <v>580</v>
      </c>
      <c r="G19" s="2">
        <v>522</v>
      </c>
      <c r="H19" s="2">
        <v>526</v>
      </c>
      <c r="I19" s="2">
        <v>471</v>
      </c>
      <c r="J19" s="2">
        <v>281</v>
      </c>
      <c r="K19" s="2">
        <v>344</v>
      </c>
      <c r="L19" s="2">
        <v>308</v>
      </c>
      <c r="M19" s="2">
        <v>336</v>
      </c>
      <c r="N19" s="2">
        <v>352</v>
      </c>
      <c r="O19" s="2">
        <v>224</v>
      </c>
      <c r="P19" s="2">
        <f>+O19/$O$3*12</f>
        <v>336</v>
      </c>
      <c r="Q19" s="2">
        <v>400</v>
      </c>
      <c r="R19" s="2">
        <v>400</v>
      </c>
      <c r="S19" s="2">
        <v>400</v>
      </c>
      <c r="T19" s="2">
        <v>400</v>
      </c>
      <c r="U19" s="89">
        <f t="shared" si="0"/>
        <v>0</v>
      </c>
    </row>
    <row r="20" spans="1:21" ht="12.75">
      <c r="A20" t="s">
        <v>144</v>
      </c>
      <c r="B20" s="4">
        <v>52.321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35</v>
      </c>
      <c r="N20" s="2"/>
      <c r="O20" s="2"/>
      <c r="P20" s="2"/>
      <c r="Q20" s="2"/>
      <c r="R20" s="2"/>
      <c r="S20" s="2"/>
      <c r="T20" s="2"/>
      <c r="U20" s="89"/>
    </row>
    <row r="21" spans="1:21" ht="12.75">
      <c r="A21" t="s">
        <v>156</v>
      </c>
      <c r="B21" s="4">
        <v>52.35</v>
      </c>
      <c r="C21" s="2">
        <v>837</v>
      </c>
      <c r="D21" s="2">
        <v>1605</v>
      </c>
      <c r="E21" s="2">
        <v>878</v>
      </c>
      <c r="F21" s="2">
        <v>1441</v>
      </c>
      <c r="G21" s="2">
        <v>1062</v>
      </c>
      <c r="H21" s="2">
        <v>904</v>
      </c>
      <c r="I21" s="2">
        <v>1578</v>
      </c>
      <c r="J21" s="2">
        <v>1337</v>
      </c>
      <c r="K21" s="2">
        <v>1535</v>
      </c>
      <c r="L21" s="2">
        <v>532</v>
      </c>
      <c r="M21" s="2">
        <v>996</v>
      </c>
      <c r="N21" s="2">
        <v>1731</v>
      </c>
      <c r="O21" s="2">
        <v>1140</v>
      </c>
      <c r="P21" s="2">
        <v>1500</v>
      </c>
      <c r="Q21" s="2">
        <v>1500</v>
      </c>
      <c r="R21" s="2">
        <v>2250</v>
      </c>
      <c r="S21" s="2">
        <v>1200</v>
      </c>
      <c r="T21" s="2">
        <v>1200</v>
      </c>
      <c r="U21" s="89">
        <f t="shared" si="0"/>
        <v>-0.2</v>
      </c>
    </row>
    <row r="22" spans="1:21" ht="12.75">
      <c r="A22" t="s">
        <v>146</v>
      </c>
      <c r="B22" s="4">
        <v>52.3602</v>
      </c>
      <c r="C22" s="2">
        <v>100</v>
      </c>
      <c r="D22" s="2">
        <v>100</v>
      </c>
      <c r="E22" s="2">
        <v>50</v>
      </c>
      <c r="F22" s="2">
        <v>100</v>
      </c>
      <c r="G22" s="2">
        <v>100</v>
      </c>
      <c r="H22" s="2">
        <v>150</v>
      </c>
      <c r="I22" s="2">
        <v>150</v>
      </c>
      <c r="J22" s="2">
        <v>150</v>
      </c>
      <c r="K22" s="2">
        <v>75</v>
      </c>
      <c r="L22" s="2">
        <v>75</v>
      </c>
      <c r="M22" s="2">
        <v>75</v>
      </c>
      <c r="N22" s="2">
        <v>75</v>
      </c>
      <c r="O22" s="2">
        <v>150</v>
      </c>
      <c r="P22" s="2">
        <v>150</v>
      </c>
      <c r="Q22" s="2">
        <v>150</v>
      </c>
      <c r="R22" s="2">
        <v>125</v>
      </c>
      <c r="S22" s="2">
        <v>125</v>
      </c>
      <c r="T22" s="2">
        <v>125</v>
      </c>
      <c r="U22" s="89">
        <f t="shared" si="0"/>
        <v>-0.16666666666666666</v>
      </c>
    </row>
    <row r="23" spans="1:21" ht="12.75">
      <c r="A23" t="s">
        <v>157</v>
      </c>
      <c r="B23" s="4">
        <v>52.37</v>
      </c>
      <c r="C23" s="2"/>
      <c r="D23" s="2"/>
      <c r="E23" s="2">
        <v>410</v>
      </c>
      <c r="F23" s="2">
        <v>853</v>
      </c>
      <c r="G23" s="2">
        <v>300</v>
      </c>
      <c r="H23" s="2">
        <v>600</v>
      </c>
      <c r="I23" s="2"/>
      <c r="J23" s="2"/>
      <c r="K23" s="2">
        <v>300</v>
      </c>
      <c r="L23" s="2">
        <v>300</v>
      </c>
      <c r="M23" s="2">
        <v>300</v>
      </c>
      <c r="N23" s="2">
        <v>600</v>
      </c>
      <c r="O23" s="2">
        <v>600</v>
      </c>
      <c r="P23" s="2">
        <v>600</v>
      </c>
      <c r="Q23" s="2">
        <v>600</v>
      </c>
      <c r="R23" s="2">
        <v>900</v>
      </c>
      <c r="S23" s="2">
        <v>600</v>
      </c>
      <c r="T23" s="2">
        <v>600</v>
      </c>
      <c r="U23" s="89"/>
    </row>
    <row r="24" spans="2:21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9"/>
    </row>
    <row r="25" spans="1:21" ht="12.75" hidden="1">
      <c r="A25" t="s">
        <v>364</v>
      </c>
      <c r="B25" s="4">
        <v>53.14</v>
      </c>
      <c r="C25" s="2"/>
      <c r="D25" s="2"/>
      <c r="E25" s="2"/>
      <c r="F25" s="2"/>
      <c r="G25" s="2"/>
      <c r="H25" s="2">
        <v>190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242</v>
      </c>
      <c r="B26" s="4">
        <v>53.1706</v>
      </c>
      <c r="C26" s="2">
        <v>390</v>
      </c>
      <c r="D26" s="2">
        <v>486</v>
      </c>
      <c r="E26" s="2">
        <v>604</v>
      </c>
      <c r="F26" s="2">
        <v>569</v>
      </c>
      <c r="G26" s="2">
        <v>764</v>
      </c>
      <c r="H26" s="2">
        <v>551</v>
      </c>
      <c r="I26" s="2">
        <f>435+145</f>
        <v>580</v>
      </c>
      <c r="J26" s="2">
        <v>587</v>
      </c>
      <c r="K26" s="2">
        <f>476+102</f>
        <v>578</v>
      </c>
      <c r="L26" s="2">
        <v>259</v>
      </c>
      <c r="M26" s="2">
        <v>589</v>
      </c>
      <c r="N26" s="2">
        <v>866</v>
      </c>
      <c r="O26" s="2">
        <v>140</v>
      </c>
      <c r="P26" s="2">
        <v>600</v>
      </c>
      <c r="Q26" s="2">
        <v>600</v>
      </c>
      <c r="R26" s="2">
        <v>1000</v>
      </c>
      <c r="S26" s="2">
        <v>600</v>
      </c>
      <c r="T26" s="2">
        <v>600</v>
      </c>
      <c r="U26" s="89">
        <f>(T26-Q26)/Q26</f>
        <v>0</v>
      </c>
    </row>
    <row r="27" spans="1:21" ht="12.75">
      <c r="A27" t="s">
        <v>151</v>
      </c>
      <c r="B27" s="4">
        <v>53.171</v>
      </c>
      <c r="C27" s="2">
        <v>62</v>
      </c>
      <c r="D27" s="2">
        <v>452</v>
      </c>
      <c r="E27" s="2">
        <v>1035</v>
      </c>
      <c r="F27" s="2">
        <v>297</v>
      </c>
      <c r="G27" s="2">
        <v>216</v>
      </c>
      <c r="H27" s="2">
        <v>46</v>
      </c>
      <c r="I27" s="2">
        <v>106</v>
      </c>
      <c r="J27" s="2">
        <f>39+173</f>
        <v>212</v>
      </c>
      <c r="K27" s="2">
        <f>146+127</f>
        <v>273</v>
      </c>
      <c r="L27" s="2">
        <v>164</v>
      </c>
      <c r="M27" s="2">
        <v>154</v>
      </c>
      <c r="N27" s="2">
        <v>168</v>
      </c>
      <c r="O27" s="2">
        <v>120</v>
      </c>
      <c r="P27" s="2">
        <v>200</v>
      </c>
      <c r="Q27" s="2">
        <v>200</v>
      </c>
      <c r="R27" s="2">
        <v>200</v>
      </c>
      <c r="S27" s="2">
        <v>200</v>
      </c>
      <c r="T27" s="2">
        <v>200</v>
      </c>
      <c r="U27" s="89">
        <f>(T27-Q27)/Q27</f>
        <v>0</v>
      </c>
    </row>
    <row r="28" spans="1:21" ht="12.75">
      <c r="A28" t="s">
        <v>227</v>
      </c>
      <c r="B28" s="4">
        <v>53.173</v>
      </c>
      <c r="C28" s="2">
        <v>80</v>
      </c>
      <c r="D28" s="2">
        <v>70</v>
      </c>
      <c r="E28" s="2">
        <v>99</v>
      </c>
      <c r="F28" s="2">
        <v>159</v>
      </c>
      <c r="G28" s="2">
        <v>132</v>
      </c>
      <c r="H28" s="2">
        <v>140</v>
      </c>
      <c r="I28" s="2">
        <v>151</v>
      </c>
      <c r="J28" s="2">
        <v>82</v>
      </c>
      <c r="K28" s="2">
        <v>147</v>
      </c>
      <c r="L28" s="2"/>
      <c r="M28" s="2">
        <v>153</v>
      </c>
      <c r="N28" s="2">
        <v>140</v>
      </c>
      <c r="O28" s="2"/>
      <c r="P28" s="2">
        <v>150</v>
      </c>
      <c r="Q28" s="2">
        <v>150</v>
      </c>
      <c r="R28" s="2">
        <v>225</v>
      </c>
      <c r="S28" s="2">
        <v>150</v>
      </c>
      <c r="T28" s="2">
        <v>150</v>
      </c>
      <c r="U28" s="89">
        <f>(T28-Q28)/Q28</f>
        <v>0</v>
      </c>
    </row>
    <row r="29" spans="1:21" ht="12.75">
      <c r="A29" t="s">
        <v>901</v>
      </c>
      <c r="B29" s="4">
        <v>53.1737</v>
      </c>
      <c r="C29" s="2"/>
      <c r="D29" s="2"/>
      <c r="E29" s="2"/>
      <c r="F29" s="2"/>
      <c r="G29" s="2"/>
      <c r="H29" s="2"/>
      <c r="I29" s="2"/>
      <c r="J29" s="2"/>
      <c r="K29" s="2"/>
      <c r="L29" s="2">
        <v>84</v>
      </c>
      <c r="M29" s="2"/>
      <c r="N29" s="2"/>
      <c r="O29" s="2"/>
      <c r="P29" s="2"/>
      <c r="Q29" s="2"/>
      <c r="R29" s="2"/>
      <c r="S29" s="2"/>
      <c r="T29" s="2"/>
      <c r="U29" s="89"/>
    </row>
    <row r="30" spans="1:21" ht="12.75">
      <c r="A30" t="s">
        <v>189</v>
      </c>
      <c r="B30" s="4">
        <v>53.175</v>
      </c>
      <c r="C30" s="2"/>
      <c r="D30" s="2"/>
      <c r="E30" s="2"/>
      <c r="F30" s="2"/>
      <c r="G30" s="2">
        <v>13</v>
      </c>
      <c r="H30" s="2">
        <v>687</v>
      </c>
      <c r="I30" s="2">
        <v>651</v>
      </c>
      <c r="J30" s="2">
        <v>48</v>
      </c>
      <c r="K30" s="2">
        <v>11</v>
      </c>
      <c r="L30" s="2">
        <v>309</v>
      </c>
      <c r="M30" s="2">
        <v>187</v>
      </c>
      <c r="N30" s="2">
        <v>48</v>
      </c>
      <c r="O30" s="2">
        <v>113</v>
      </c>
      <c r="P30" s="2">
        <f>+O30/$O$3*12</f>
        <v>169.5</v>
      </c>
      <c r="Q30" s="2">
        <v>300</v>
      </c>
      <c r="R30" s="2">
        <v>300</v>
      </c>
      <c r="S30" s="2">
        <v>200</v>
      </c>
      <c r="T30" s="2">
        <v>200</v>
      </c>
      <c r="U30" s="89"/>
    </row>
    <row r="31" spans="1:21" ht="12.75">
      <c r="A31" t="s">
        <v>571</v>
      </c>
      <c r="B31" s="4">
        <v>53.176</v>
      </c>
      <c r="C31" s="2"/>
      <c r="D31" s="2"/>
      <c r="E31" s="2"/>
      <c r="F31" s="2"/>
      <c r="G31" s="2"/>
      <c r="H31" s="2">
        <v>31</v>
      </c>
      <c r="I31" s="2">
        <v>15</v>
      </c>
      <c r="J31" s="2">
        <v>23</v>
      </c>
      <c r="K31" s="2">
        <v>13</v>
      </c>
      <c r="L31" s="2">
        <v>32</v>
      </c>
      <c r="M31" s="2">
        <v>25</v>
      </c>
      <c r="N31" s="2">
        <v>13</v>
      </c>
      <c r="O31" s="2">
        <v>20</v>
      </c>
      <c r="P31" s="2">
        <f>+O31/$O$3*12</f>
        <v>30</v>
      </c>
      <c r="Q31" s="2">
        <v>25</v>
      </c>
      <c r="R31" s="2">
        <v>50</v>
      </c>
      <c r="S31" s="2">
        <v>50</v>
      </c>
      <c r="T31" s="2">
        <v>50</v>
      </c>
      <c r="U31" s="89"/>
    </row>
    <row r="32" spans="2:21" ht="12.75">
      <c r="B32" s="4"/>
      <c r="C32" s="2"/>
      <c r="D32" s="2"/>
      <c r="E32" s="2"/>
      <c r="F32" s="2"/>
      <c r="G32" s="2"/>
      <c r="H32" s="2"/>
      <c r="I32" s="2"/>
      <c r="J32" s="2">
        <v>201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89"/>
    </row>
    <row r="33" spans="1:21" ht="12.75">
      <c r="A33" t="s">
        <v>353</v>
      </c>
      <c r="B33" s="4">
        <v>53.179</v>
      </c>
      <c r="C33" s="2"/>
      <c r="D33" s="2"/>
      <c r="E33" s="2"/>
      <c r="F33" s="2"/>
      <c r="G33" s="2"/>
      <c r="H33" s="2">
        <v>461</v>
      </c>
      <c r="I33" s="2">
        <v>632</v>
      </c>
      <c r="J33" s="2">
        <v>1000</v>
      </c>
      <c r="K33" s="2">
        <v>520</v>
      </c>
      <c r="L33" s="2">
        <v>1332</v>
      </c>
      <c r="M33" s="2">
        <v>893</v>
      </c>
      <c r="N33" s="2">
        <v>722</v>
      </c>
      <c r="O33" s="2">
        <v>647</v>
      </c>
      <c r="P33" s="2">
        <f>+O33/$O$3*12</f>
        <v>970.5</v>
      </c>
      <c r="Q33" s="2">
        <v>1000</v>
      </c>
      <c r="R33" s="2">
        <v>1500</v>
      </c>
      <c r="S33" s="2">
        <v>1000</v>
      </c>
      <c r="T33" s="2">
        <v>1000</v>
      </c>
      <c r="U33" s="89"/>
    </row>
    <row r="34" spans="1:21" ht="12.75">
      <c r="A34" t="s">
        <v>193</v>
      </c>
      <c r="B34" s="4">
        <v>54.25</v>
      </c>
      <c r="C34" s="2"/>
      <c r="D34" s="2"/>
      <c r="E34" s="2">
        <v>679</v>
      </c>
      <c r="F34" s="2">
        <v>629</v>
      </c>
      <c r="G34" s="2">
        <v>250</v>
      </c>
      <c r="H34" s="2">
        <v>2640</v>
      </c>
      <c r="I34" s="2">
        <v>9</v>
      </c>
      <c r="J34" s="2"/>
      <c r="K34" s="2">
        <f>477+328</f>
        <v>805</v>
      </c>
      <c r="L34" s="2">
        <v>41</v>
      </c>
      <c r="M34" s="2"/>
      <c r="N34" s="2"/>
      <c r="O34" s="2">
        <v>1000</v>
      </c>
      <c r="P34" s="2">
        <f>+O34/$O$3*12</f>
        <v>1500</v>
      </c>
      <c r="Q34" s="2">
        <v>1000</v>
      </c>
      <c r="R34" s="2">
        <v>2120</v>
      </c>
      <c r="S34" s="2"/>
      <c r="T34" s="2"/>
      <c r="U34" s="89"/>
    </row>
    <row r="35" spans="1:21" ht="12.75">
      <c r="A35" t="s">
        <v>561</v>
      </c>
      <c r="B35" s="4">
        <v>54.26</v>
      </c>
      <c r="C35" s="5"/>
      <c r="D35" s="5"/>
      <c r="E35" s="5"/>
      <c r="F35" s="5"/>
      <c r="G35" s="2">
        <v>415</v>
      </c>
      <c r="H35" s="2"/>
      <c r="I35" s="2"/>
      <c r="J35" s="2"/>
      <c r="K35" s="2">
        <v>715</v>
      </c>
      <c r="L35" s="2"/>
      <c r="M35" s="2"/>
      <c r="N35" s="2"/>
      <c r="O35" s="2"/>
      <c r="P35" s="5"/>
      <c r="Q35" s="5"/>
      <c r="R35" s="5"/>
      <c r="S35" s="5"/>
      <c r="T35" s="5"/>
      <c r="U35" s="89"/>
    </row>
    <row r="36" spans="2:21" ht="12.75">
      <c r="B36" s="4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2"/>
      <c r="S36" s="5"/>
      <c r="T36" s="5"/>
      <c r="U36" s="89"/>
    </row>
    <row r="37" spans="2:21" ht="12.75">
      <c r="B37" s="4"/>
      <c r="C37" s="5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5"/>
      <c r="T37" s="5"/>
      <c r="U37" s="89"/>
    </row>
    <row r="38" spans="1:21" ht="12.75">
      <c r="A38" s="6" t="s">
        <v>119</v>
      </c>
      <c r="C38" s="8">
        <f aca="true" t="shared" si="1" ref="C38:I38">SUM(C7:C35)</f>
        <v>9047</v>
      </c>
      <c r="D38" s="8">
        <f t="shared" si="1"/>
        <v>10959</v>
      </c>
      <c r="E38" s="8">
        <f t="shared" si="1"/>
        <v>10495</v>
      </c>
      <c r="F38" s="8">
        <f t="shared" si="1"/>
        <v>14269</v>
      </c>
      <c r="G38" s="8">
        <f t="shared" si="1"/>
        <v>10403</v>
      </c>
      <c r="H38" s="8">
        <f t="shared" si="1"/>
        <v>16690</v>
      </c>
      <c r="I38" s="8">
        <f t="shared" si="1"/>
        <v>15049</v>
      </c>
      <c r="J38" s="8">
        <v>18403</v>
      </c>
      <c r="K38" s="8">
        <f aca="true" t="shared" si="2" ref="K38:T38">SUM(K7:K35)</f>
        <v>15312</v>
      </c>
      <c r="L38" s="8">
        <v>13765</v>
      </c>
      <c r="M38" s="8">
        <v>14458</v>
      </c>
      <c r="N38" s="8">
        <v>16565</v>
      </c>
      <c r="O38" s="8">
        <f t="shared" si="2"/>
        <v>11366</v>
      </c>
      <c r="P38" s="8">
        <f t="shared" si="2"/>
        <v>18091.5</v>
      </c>
      <c r="Q38" s="8">
        <f t="shared" si="2"/>
        <v>15860.2455</v>
      </c>
      <c r="R38" s="8">
        <f>SUM(R7:R36)</f>
        <v>19115.2455</v>
      </c>
      <c r="S38" s="8">
        <f t="shared" si="2"/>
        <v>13870.2455</v>
      </c>
      <c r="T38" s="8">
        <f t="shared" si="2"/>
        <v>13870.2455</v>
      </c>
      <c r="U38" s="93">
        <f>(T38-Q38)/Q38</f>
        <v>-0.12547094557899496</v>
      </c>
    </row>
    <row r="39" ht="12.75">
      <c r="U39" s="51"/>
    </row>
    <row r="40" spans="17:21" ht="12.75">
      <c r="Q40" s="22" t="s">
        <v>484</v>
      </c>
      <c r="R40" s="22"/>
      <c r="S40" s="55">
        <f>R38-S38</f>
        <v>5245</v>
      </c>
      <c r="U40" s="51"/>
    </row>
    <row r="41" spans="1:21" ht="12.75">
      <c r="A41" s="6"/>
      <c r="Q41" s="22" t="s">
        <v>725</v>
      </c>
      <c r="R41" s="22"/>
      <c r="S41" s="55">
        <f>Q38-S38</f>
        <v>1990</v>
      </c>
      <c r="U41" s="51"/>
    </row>
    <row r="42" spans="17:21" ht="12.75">
      <c r="Q42" s="22" t="s">
        <v>432</v>
      </c>
      <c r="R42" s="22"/>
      <c r="S42" s="55">
        <f>S38-T38</f>
        <v>0</v>
      </c>
      <c r="U42" s="51"/>
    </row>
    <row r="43" spans="1:21" ht="12.75">
      <c r="A43" s="6" t="s">
        <v>584</v>
      </c>
      <c r="U43" s="51"/>
    </row>
    <row r="44" ht="12.75">
      <c r="U44" s="51"/>
    </row>
    <row r="45" spans="1:21" ht="12.75">
      <c r="A45" s="6"/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3" ht="12.75">
      <c r="U53" s="51"/>
    </row>
    <row r="54" ht="12.75">
      <c r="U54" s="51"/>
    </row>
    <row r="55" ht="12.75">
      <c r="U55" s="51"/>
    </row>
    <row r="80" ht="12.75">
      <c r="U80" s="2"/>
    </row>
    <row r="81" ht="12.75">
      <c r="U81" s="2"/>
    </row>
    <row r="82" ht="12.75">
      <c r="U82" s="2"/>
    </row>
    <row r="83" spans="3:21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3:21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3:21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6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W76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8.00390625" style="0" hidden="1" customWidth="1"/>
    <col min="12" max="12" width="8.00390625" style="0" bestFit="1" customWidth="1"/>
    <col min="13" max="14" width="8.00390625" style="0" customWidth="1"/>
    <col min="15" max="16" width="8.00390625" style="0" bestFit="1" customWidth="1"/>
    <col min="17" max="17" width="10.140625" style="0" customWidth="1"/>
    <col min="19" max="19" width="10.7109375" style="0" bestFit="1" customWidth="1"/>
    <col min="20" max="20" width="8.00390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465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t="s">
        <v>672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29925</v>
      </c>
      <c r="O7" s="2">
        <v>32663</v>
      </c>
      <c r="P7" s="2">
        <v>43550</v>
      </c>
      <c r="Q7" s="2">
        <v>43550</v>
      </c>
      <c r="R7" s="2">
        <v>43550</v>
      </c>
      <c r="S7" s="2">
        <v>30000</v>
      </c>
      <c r="T7" s="2">
        <v>30000</v>
      </c>
      <c r="U7" s="51">
        <f>(T7-Q7)/Q7</f>
        <v>-0.3111366245694604</v>
      </c>
      <c r="V7" s="33" t="s">
        <v>372</v>
      </c>
    </row>
    <row r="8" spans="1:22" ht="12.75">
      <c r="A8" t="s">
        <v>53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  <c r="V8" s="6"/>
    </row>
    <row r="9" spans="1:22" ht="12.75">
      <c r="A9" t="s">
        <v>54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  <c r="V9" s="6"/>
    </row>
    <row r="10" spans="1:21" ht="12.75">
      <c r="A10" t="s">
        <v>806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2"/>
      <c r="P10" s="2"/>
      <c r="Q10" s="5"/>
      <c r="R10" s="5"/>
      <c r="S10" s="2"/>
      <c r="T10" s="2"/>
      <c r="U10" s="51"/>
    </row>
    <row r="11" spans="2:21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1"/>
    </row>
    <row r="12" spans="1:21" ht="12.75">
      <c r="A12" s="6" t="s">
        <v>119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T12">SUM(K7:K11)</f>
        <v>36000</v>
      </c>
      <c r="L12" s="8">
        <v>39000</v>
      </c>
      <c r="M12" s="8">
        <v>29925</v>
      </c>
      <c r="N12" s="8">
        <f t="shared" si="1"/>
        <v>29925</v>
      </c>
      <c r="O12" s="8">
        <f t="shared" si="1"/>
        <v>32663</v>
      </c>
      <c r="P12" s="8">
        <f t="shared" si="1"/>
        <v>43550</v>
      </c>
      <c r="Q12" s="8">
        <f t="shared" si="1"/>
        <v>43550</v>
      </c>
      <c r="R12" s="8">
        <f t="shared" si="1"/>
        <v>43550</v>
      </c>
      <c r="S12" s="8">
        <f t="shared" si="1"/>
        <v>30000</v>
      </c>
      <c r="T12" s="8">
        <f t="shared" si="1"/>
        <v>30000</v>
      </c>
      <c r="U12" s="51">
        <f>(T12-Q12)/Q12</f>
        <v>-0.3111366245694604</v>
      </c>
    </row>
    <row r="13" ht="12.75">
      <c r="U13" s="51"/>
    </row>
    <row r="14" spans="17:21" ht="12.75">
      <c r="Q14" s="22" t="s">
        <v>484</v>
      </c>
      <c r="R14" s="22"/>
      <c r="S14" s="55">
        <f>R12-S12</f>
        <v>13550</v>
      </c>
      <c r="U14" s="51"/>
    </row>
    <row r="15" spans="17:21" ht="12.75">
      <c r="Q15" s="22" t="s">
        <v>725</v>
      </c>
      <c r="R15" s="22"/>
      <c r="S15" s="55">
        <f>Q12-S12</f>
        <v>13550</v>
      </c>
      <c r="U15" s="51"/>
    </row>
    <row r="16" spans="17:21" ht="12.75">
      <c r="Q16" s="22" t="s">
        <v>432</v>
      </c>
      <c r="R16" s="22"/>
      <c r="S16" s="55">
        <f>S12-T12</f>
        <v>0</v>
      </c>
      <c r="U16" s="51"/>
    </row>
    <row r="17" ht="12.75">
      <c r="U17" s="51"/>
    </row>
    <row r="18" spans="1:21" ht="12.75">
      <c r="A18" s="6" t="s">
        <v>16</v>
      </c>
      <c r="U18" s="51"/>
    </row>
    <row r="19" spans="1:21" ht="12.75">
      <c r="A19" s="6" t="s">
        <v>1074</v>
      </c>
      <c r="U19" s="51"/>
    </row>
    <row r="20" spans="1:21" ht="12.75">
      <c r="A20" s="6"/>
      <c r="U20" s="51"/>
    </row>
    <row r="21" ht="12.75">
      <c r="U21" s="51"/>
    </row>
    <row r="22" spans="21:23" ht="12.75">
      <c r="U22" s="51"/>
      <c r="W22" t="s">
        <v>649</v>
      </c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5"/>
  <sheetViews>
    <sheetView workbookViewId="0" topLeftCell="A1">
      <pane ySplit="1035" topLeftCell="BM24" activePane="bottomLeft" state="split"/>
      <selection pane="topLeft" activeCell="A1" sqref="A1:IV3"/>
      <selection pane="bottomLeft" activeCell="Z52" sqref="Z52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9" max="9" width="13.421875" style="0" hidden="1" customWidth="1"/>
    <col min="10" max="10" width="9.140625" style="0" hidden="1" customWidth="1"/>
    <col min="11" max="11" width="10.140625" style="0" hidden="1" customWidth="1"/>
    <col min="12" max="13" width="9.28125" style="0" bestFit="1" customWidth="1"/>
    <col min="14" max="14" width="11.140625" style="0" customWidth="1"/>
    <col min="15" max="15" width="9.8515625" style="0" bestFit="1" customWidth="1"/>
    <col min="16" max="16" width="9.28125" style="0" bestFit="1" customWidth="1"/>
    <col min="17" max="18" width="10.140625" style="0" bestFit="1" customWidth="1"/>
    <col min="19" max="19" width="11.28125" style="0" customWidth="1"/>
    <col min="20" max="20" width="9.28125" style="0" customWidth="1"/>
    <col min="21" max="21" width="9.7109375" style="79" hidden="1" customWidth="1"/>
    <col min="22" max="22" width="8.7109375" style="79" hidden="1" customWidth="1"/>
    <col min="23" max="23" width="10.7109375" style="79" hidden="1" customWidth="1"/>
    <col min="24" max="24" width="8.7109375" style="79" hidden="1" customWidth="1"/>
    <col min="25" max="25" width="0.13671875" style="79" hidden="1" customWidth="1"/>
    <col min="26" max="26" width="7.140625" style="85" customWidth="1"/>
    <col min="27" max="27" width="6.7109375" style="0" hidden="1" customWidth="1"/>
    <col min="28" max="28" width="6.8515625" style="0" hidden="1" customWidth="1"/>
    <col min="29" max="29" width="30.421875" style="0" bestFit="1" customWidth="1"/>
  </cols>
  <sheetData>
    <row r="1" spans="1:28" ht="12.75">
      <c r="A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" t="s">
        <v>430</v>
      </c>
      <c r="Q1" s="1"/>
      <c r="R1" s="78" t="s">
        <v>525</v>
      </c>
      <c r="S1" s="78" t="s">
        <v>427</v>
      </c>
      <c r="T1" s="78" t="s">
        <v>526</v>
      </c>
      <c r="U1" s="80" t="s">
        <v>527</v>
      </c>
      <c r="V1" s="80" t="s">
        <v>997</v>
      </c>
      <c r="W1" s="80" t="s">
        <v>427</v>
      </c>
      <c r="X1" s="80" t="s">
        <v>340</v>
      </c>
      <c r="Z1" s="97" t="s">
        <v>497</v>
      </c>
      <c r="AA1" s="1" t="s">
        <v>540</v>
      </c>
      <c r="AB1" s="1" t="s">
        <v>540</v>
      </c>
    </row>
    <row r="2" spans="1:28" ht="12.75">
      <c r="A2" t="s">
        <v>110</v>
      </c>
      <c r="C2" s="1" t="s">
        <v>421</v>
      </c>
      <c r="D2" s="1" t="s">
        <v>421</v>
      </c>
      <c r="E2" s="1" t="s">
        <v>421</v>
      </c>
      <c r="F2" s="1" t="s">
        <v>421</v>
      </c>
      <c r="G2" s="1" t="s">
        <v>421</v>
      </c>
      <c r="H2" s="1" t="s">
        <v>421</v>
      </c>
      <c r="I2" s="1" t="s">
        <v>421</v>
      </c>
      <c r="J2" s="1" t="s">
        <v>421</v>
      </c>
      <c r="K2" s="1" t="s">
        <v>421</v>
      </c>
      <c r="L2" s="1" t="s">
        <v>421</v>
      </c>
      <c r="M2" s="1" t="s">
        <v>421</v>
      </c>
      <c r="N2" s="1" t="s">
        <v>421</v>
      </c>
      <c r="O2" s="1" t="s">
        <v>421</v>
      </c>
      <c r="P2" s="9" t="s">
        <v>442</v>
      </c>
      <c r="Q2" s="1" t="s">
        <v>350</v>
      </c>
      <c r="R2" s="78" t="s">
        <v>426</v>
      </c>
      <c r="S2" s="78" t="s">
        <v>657</v>
      </c>
      <c r="T2" s="78" t="s">
        <v>524</v>
      </c>
      <c r="U2" s="81" t="s">
        <v>528</v>
      </c>
      <c r="V2" s="81" t="s">
        <v>998</v>
      </c>
      <c r="W2" s="81" t="s">
        <v>530</v>
      </c>
      <c r="X2" s="81" t="s">
        <v>644</v>
      </c>
      <c r="Y2" s="80" t="s">
        <v>531</v>
      </c>
      <c r="Z2" s="86" t="s">
        <v>423</v>
      </c>
      <c r="AA2">
        <v>2008</v>
      </c>
      <c r="AB2">
        <v>2012</v>
      </c>
    </row>
    <row r="3" spans="1:29" ht="13.5" thickBot="1">
      <c r="A3" s="6" t="s">
        <v>412</v>
      </c>
      <c r="C3" s="61">
        <v>1999</v>
      </c>
      <c r="D3" s="61">
        <v>2000</v>
      </c>
      <c r="E3" s="61">
        <v>2001</v>
      </c>
      <c r="F3" s="61">
        <v>2002</v>
      </c>
      <c r="G3" s="61">
        <v>2003</v>
      </c>
      <c r="H3" s="61">
        <v>2004</v>
      </c>
      <c r="I3" s="61">
        <v>2005</v>
      </c>
      <c r="J3" s="61">
        <v>2006</v>
      </c>
      <c r="K3" s="61">
        <v>2007</v>
      </c>
      <c r="L3" s="61">
        <v>2008</v>
      </c>
      <c r="M3" s="61">
        <v>2009</v>
      </c>
      <c r="N3" s="61">
        <v>2010</v>
      </c>
      <c r="O3" s="61">
        <v>2011</v>
      </c>
      <c r="P3" s="61">
        <v>2011</v>
      </c>
      <c r="Q3" s="61">
        <v>2011</v>
      </c>
      <c r="R3" s="61">
        <v>2012</v>
      </c>
      <c r="S3" s="61">
        <v>2012</v>
      </c>
      <c r="T3" s="61">
        <v>2012</v>
      </c>
      <c r="U3" s="82" t="s">
        <v>529</v>
      </c>
      <c r="V3" s="82" t="s">
        <v>999</v>
      </c>
      <c r="W3" s="82" t="s">
        <v>773</v>
      </c>
      <c r="X3" s="82" t="s">
        <v>645</v>
      </c>
      <c r="Y3" s="82" t="s">
        <v>532</v>
      </c>
      <c r="Z3" s="96" t="s">
        <v>938</v>
      </c>
      <c r="AA3" s="61" t="s">
        <v>350</v>
      </c>
      <c r="AB3" s="61" t="s">
        <v>350</v>
      </c>
      <c r="AC3" t="s">
        <v>1049</v>
      </c>
    </row>
    <row r="4" spans="1:28" ht="12.75">
      <c r="A4" s="33" t="s">
        <v>167</v>
      </c>
      <c r="B4" s="11">
        <v>10000</v>
      </c>
      <c r="C4" s="2">
        <v>64672</v>
      </c>
      <c r="D4" s="2">
        <v>100709</v>
      </c>
      <c r="E4" s="2">
        <v>96592</v>
      </c>
      <c r="F4" s="2">
        <v>137133</v>
      </c>
      <c r="G4" s="2">
        <v>150535</v>
      </c>
      <c r="H4" s="2">
        <v>109043</v>
      </c>
      <c r="I4" s="125">
        <v>252934</v>
      </c>
      <c r="J4" s="2">
        <v>121413</v>
      </c>
      <c r="K4" s="2">
        <v>146837.96</v>
      </c>
      <c r="L4" s="2">
        <v>110401</v>
      </c>
      <c r="M4" s="2">
        <v>84940</v>
      </c>
      <c r="N4" s="2">
        <v>174133</v>
      </c>
      <c r="O4" s="2">
        <f>'GF10000'!O64</f>
        <v>65164</v>
      </c>
      <c r="P4" s="2">
        <f>'GF10000'!P64</f>
        <v>127650.20133333333</v>
      </c>
      <c r="Q4" s="2">
        <f>'GF10000'!Q64</f>
        <v>134613.7405</v>
      </c>
      <c r="R4" s="2">
        <f>'GF10000'!R64</f>
        <v>110781.583</v>
      </c>
      <c r="S4" s="2">
        <f>'GF10000'!S64</f>
        <v>110781.583</v>
      </c>
      <c r="T4" s="2">
        <f>'GF10000'!T64</f>
        <v>110781.583</v>
      </c>
      <c r="U4" s="79">
        <f>'GF10000'!S66</f>
        <v>0</v>
      </c>
      <c r="V4" s="79">
        <f aca="true" t="shared" si="0" ref="V4:V15">T4-S4</f>
        <v>0</v>
      </c>
      <c r="W4" s="79">
        <f>'GF10000'!S67</f>
        <v>23832.157500000016</v>
      </c>
      <c r="X4" s="119">
        <f>(S4-Q4)/Q4</f>
        <v>-0.1770410465638908</v>
      </c>
      <c r="Y4" s="79">
        <f>'GF10000'!S68</f>
        <v>0</v>
      </c>
      <c r="Z4" s="87">
        <f>(T4-Q4)/Q4</f>
        <v>-0.1770410465638908</v>
      </c>
      <c r="AA4" s="95">
        <f>S4/S$52</f>
        <v>0.012186613147451094</v>
      </c>
      <c r="AB4" s="95">
        <f>T4/T$52</f>
        <v>0.012429642346587635</v>
      </c>
    </row>
    <row r="5" spans="1:29" ht="12.75">
      <c r="A5" t="s">
        <v>416</v>
      </c>
      <c r="B5" s="11">
        <v>13000</v>
      </c>
      <c r="C5" s="2">
        <v>172023</v>
      </c>
      <c r="D5" s="2">
        <v>192947</v>
      </c>
      <c r="E5" s="2">
        <v>206866</v>
      </c>
      <c r="F5" s="2">
        <v>222152</v>
      </c>
      <c r="G5" s="2">
        <v>217336</v>
      </c>
      <c r="H5" s="2">
        <v>251734</v>
      </c>
      <c r="I5" s="42">
        <v>293432</v>
      </c>
      <c r="J5" s="2">
        <v>307781</v>
      </c>
      <c r="K5" s="2">
        <v>334207</v>
      </c>
      <c r="L5" s="2">
        <v>346323</v>
      </c>
      <c r="M5" s="2">
        <v>338926</v>
      </c>
      <c r="N5" s="2">
        <v>326320</v>
      </c>
      <c r="O5" s="2">
        <f>'GF13000'!O40</f>
        <v>250812</v>
      </c>
      <c r="P5" s="2">
        <f>'GF13000'!P40</f>
        <v>334849.19066666666</v>
      </c>
      <c r="Q5" s="2">
        <f>'GF13000'!Q40</f>
        <v>344401.392</v>
      </c>
      <c r="R5" s="2">
        <f>'GF13000'!R40</f>
        <v>359653.545</v>
      </c>
      <c r="S5" s="2">
        <f>'GF13000'!S40</f>
        <v>359653.545</v>
      </c>
      <c r="T5" s="2">
        <f>'GF13000'!T40</f>
        <v>359653.545</v>
      </c>
      <c r="U5" s="79">
        <f>'GF13000'!S42</f>
        <v>0</v>
      </c>
      <c r="V5" s="79">
        <f t="shared" si="0"/>
        <v>0</v>
      </c>
      <c r="W5" s="79">
        <f>'GF13000'!S43</f>
        <v>-15252.152999999991</v>
      </c>
      <c r="X5" s="119">
        <f aca="true" t="shared" si="1" ref="X5:X50">(S5-Q5)/Q5</f>
        <v>0.04428597954098859</v>
      </c>
      <c r="Y5" s="79">
        <f>'GF13000'!S44</f>
        <v>0</v>
      </c>
      <c r="Z5" s="87">
        <f aca="true" t="shared" si="2" ref="Z5:Z50">(T5-Q5)/Q5</f>
        <v>0.04428597954098859</v>
      </c>
      <c r="AA5" s="95">
        <f aca="true" t="shared" si="3" ref="AA5:AA50">S5/R$52</f>
        <v>0.03687874109559819</v>
      </c>
      <c r="AB5" s="95">
        <f aca="true" t="shared" si="4" ref="AB5:AB34">T5/T$52</f>
        <v>0.04035296131336525</v>
      </c>
      <c r="AC5" t="s">
        <v>1050</v>
      </c>
    </row>
    <row r="6" spans="1:29" ht="12.75">
      <c r="A6" t="s">
        <v>414</v>
      </c>
      <c r="B6" s="11">
        <v>14000</v>
      </c>
      <c r="C6" s="2">
        <v>28622</v>
      </c>
      <c r="D6" s="2">
        <v>45160</v>
      </c>
      <c r="E6" s="2">
        <v>21951</v>
      </c>
      <c r="F6" s="2">
        <v>28703</v>
      </c>
      <c r="G6" s="2">
        <v>25816</v>
      </c>
      <c r="H6" s="2">
        <v>30168</v>
      </c>
      <c r="I6" s="2">
        <v>18239</v>
      </c>
      <c r="J6" s="2">
        <v>31154</v>
      </c>
      <c r="K6" s="2">
        <v>24155</v>
      </c>
      <c r="L6" s="2">
        <v>30235</v>
      </c>
      <c r="M6" s="2">
        <v>19955</v>
      </c>
      <c r="N6" s="2">
        <v>17291</v>
      </c>
      <c r="O6" s="2">
        <f>'GF14000'!O34</f>
        <v>17713</v>
      </c>
      <c r="P6" s="2">
        <f>'GF14000'!P34</f>
        <v>18985</v>
      </c>
      <c r="Q6" s="2">
        <f>'GF14000'!Q34</f>
        <v>20846</v>
      </c>
      <c r="R6" s="2">
        <f>'GF14000'!R34</f>
        <v>27390</v>
      </c>
      <c r="S6" s="2">
        <f>'GF14000'!S34</f>
        <v>27040</v>
      </c>
      <c r="T6" s="2">
        <f>'GF14000'!T34</f>
        <v>21894</v>
      </c>
      <c r="U6" s="79">
        <f>'GF14000'!S36</f>
        <v>350</v>
      </c>
      <c r="V6" s="79">
        <f t="shared" si="0"/>
        <v>-5146</v>
      </c>
      <c r="W6" s="79">
        <f>'GF14000'!S37</f>
        <v>-6194</v>
      </c>
      <c r="X6" s="119">
        <f>(S6-Q6)/Q6</f>
        <v>0.2971313441427612</v>
      </c>
      <c r="Y6" s="79">
        <f>'GF14000'!S38</f>
        <v>5146</v>
      </c>
      <c r="Z6" s="87">
        <f t="shared" si="2"/>
        <v>0.050273433752278614</v>
      </c>
      <c r="AA6" s="95">
        <f t="shared" si="3"/>
        <v>0.0027726715698714304</v>
      </c>
      <c r="AB6" s="95">
        <f t="shared" si="4"/>
        <v>0.002456496668188878</v>
      </c>
      <c r="AC6" t="s">
        <v>1051</v>
      </c>
    </row>
    <row r="7" spans="1:28" ht="12.75">
      <c r="A7" t="s">
        <v>415</v>
      </c>
      <c r="B7" s="11">
        <v>14100</v>
      </c>
      <c r="C7" s="2">
        <v>35577</v>
      </c>
      <c r="D7" s="2">
        <v>36084</v>
      </c>
      <c r="E7" s="2">
        <v>36095</v>
      </c>
      <c r="F7" s="2">
        <v>36506</v>
      </c>
      <c r="G7" s="2">
        <v>32351</v>
      </c>
      <c r="H7" s="2">
        <v>37611</v>
      </c>
      <c r="I7" s="2">
        <v>32749</v>
      </c>
      <c r="J7" s="2">
        <v>37396</v>
      </c>
      <c r="K7" s="2">
        <v>44368</v>
      </c>
      <c r="L7" s="2">
        <v>47976</v>
      </c>
      <c r="M7" s="2">
        <v>40413</v>
      </c>
      <c r="N7" s="2">
        <v>35855</v>
      </c>
      <c r="O7" s="2">
        <f>'GF14100'!O39</f>
        <v>22950</v>
      </c>
      <c r="P7" s="2">
        <f>'GF14100'!P39</f>
        <v>35128</v>
      </c>
      <c r="Q7" s="2">
        <f>'GF14100'!Q39</f>
        <v>33127.936</v>
      </c>
      <c r="R7" s="2">
        <f>'GF14100'!R39</f>
        <v>44590.07</v>
      </c>
      <c r="S7" s="2">
        <f>'GF14100'!S39</f>
        <v>30466.749</v>
      </c>
      <c r="T7" s="2">
        <f>'GF14100'!T39</f>
        <v>37414.479999999996</v>
      </c>
      <c r="U7" s="79">
        <f>'GF14100'!S41</f>
        <v>14123.321</v>
      </c>
      <c r="V7" s="79">
        <f t="shared" si="0"/>
        <v>6947.730999999996</v>
      </c>
      <c r="W7" s="79">
        <f>'GF14100'!S42</f>
        <v>2661.1870000000017</v>
      </c>
      <c r="X7" s="119">
        <f>(S7-Q7)/Q7</f>
        <v>-0.0803306007352828</v>
      </c>
      <c r="Y7" s="79">
        <f>'GF14100'!S43</f>
        <v>-6947.730999999996</v>
      </c>
      <c r="Z7" s="87">
        <f t="shared" si="2"/>
        <v>0.12939363321638855</v>
      </c>
      <c r="AA7" s="95">
        <f t="shared" si="3"/>
        <v>0.003124049141224439</v>
      </c>
      <c r="AB7" s="95">
        <f t="shared" si="4"/>
        <v>0.004197887341829698</v>
      </c>
    </row>
    <row r="8" spans="1:28" ht="12.75">
      <c r="A8" t="s">
        <v>158</v>
      </c>
      <c r="B8" s="11">
        <v>15300</v>
      </c>
      <c r="C8" s="2">
        <v>85176</v>
      </c>
      <c r="D8" s="2">
        <v>74778</v>
      </c>
      <c r="E8" s="2">
        <v>61939</v>
      </c>
      <c r="F8" s="2">
        <v>57048</v>
      </c>
      <c r="G8" s="2">
        <v>68499</v>
      </c>
      <c r="H8" s="2">
        <v>73693</v>
      </c>
      <c r="I8" s="2">
        <v>73151</v>
      </c>
      <c r="J8" s="2">
        <v>54328</v>
      </c>
      <c r="K8" s="2">
        <v>93011</v>
      </c>
      <c r="L8" s="2">
        <v>59429</v>
      </c>
      <c r="M8" s="2">
        <v>75478</v>
      </c>
      <c r="N8" s="20">
        <v>78130</v>
      </c>
      <c r="O8" s="2">
        <f>'GF15300'!O11</f>
        <v>34812</v>
      </c>
      <c r="P8" s="2">
        <f>'GF15300'!P11</f>
        <v>55720.5</v>
      </c>
      <c r="Q8" s="2">
        <f>'GF15300'!Q11</f>
        <v>75000</v>
      </c>
      <c r="R8" s="2">
        <f>'GF15300'!R11</f>
        <v>75000</v>
      </c>
      <c r="S8" s="2">
        <f>'GF15300'!S11</f>
        <v>75000</v>
      </c>
      <c r="T8" s="2">
        <f>'GF15300'!T11</f>
        <v>75000</v>
      </c>
      <c r="U8" s="79">
        <f>'GF15300'!S13</f>
        <v>0</v>
      </c>
      <c r="V8" s="79">
        <f t="shared" si="0"/>
        <v>0</v>
      </c>
      <c r="W8" s="79">
        <f>'GF15300'!S14</f>
        <v>0</v>
      </c>
      <c r="X8" s="119">
        <f t="shared" si="1"/>
        <v>0</v>
      </c>
      <c r="Y8" s="79">
        <f>'GF15300'!S15</f>
        <v>0</v>
      </c>
      <c r="Z8" s="87">
        <f t="shared" si="2"/>
        <v>0</v>
      </c>
      <c r="AA8" s="95">
        <f t="shared" si="3"/>
        <v>0.007690472179746941</v>
      </c>
      <c r="AB8" s="95">
        <f t="shared" si="4"/>
        <v>0.008414965292507804</v>
      </c>
    </row>
    <row r="9" spans="1:29" ht="12.75">
      <c r="A9" t="s">
        <v>160</v>
      </c>
      <c r="B9" s="11">
        <v>15450</v>
      </c>
      <c r="C9" s="2">
        <v>149863</v>
      </c>
      <c r="D9" s="2">
        <v>185873</v>
      </c>
      <c r="E9" s="2">
        <v>193528</v>
      </c>
      <c r="F9" s="2">
        <v>210806</v>
      </c>
      <c r="G9" s="2">
        <v>222132</v>
      </c>
      <c r="H9" s="2">
        <v>217854</v>
      </c>
      <c r="I9" s="2">
        <v>210945</v>
      </c>
      <c r="J9" s="2">
        <v>234447</v>
      </c>
      <c r="K9" s="2">
        <v>256927</v>
      </c>
      <c r="L9" s="2">
        <v>229705</v>
      </c>
      <c r="M9" s="2">
        <v>230330</v>
      </c>
      <c r="N9" s="2">
        <v>243971</v>
      </c>
      <c r="O9" s="2">
        <f>'GF15450'!O46</f>
        <v>163972</v>
      </c>
      <c r="P9" s="2">
        <f>'GF15450'!P46</f>
        <v>247172.618</v>
      </c>
      <c r="Q9" s="2">
        <f>'GF15450'!Q46</f>
        <v>282900.77035999997</v>
      </c>
      <c r="R9" s="2">
        <f>'GF15450'!R46</f>
        <v>303431</v>
      </c>
      <c r="S9" s="2">
        <f>'GF15450'!S46</f>
        <v>272131.18700000003</v>
      </c>
      <c r="T9" s="2">
        <f>'GF15450'!T46</f>
        <v>272131.18700000003</v>
      </c>
      <c r="U9" s="79">
        <f>'GF15450'!S48</f>
        <v>31299.812999999966</v>
      </c>
      <c r="V9" s="79">
        <f t="shared" si="0"/>
        <v>0</v>
      </c>
      <c r="W9" s="79">
        <f>'GF15450'!S49</f>
        <v>10769.583359999931</v>
      </c>
      <c r="X9" s="119">
        <f t="shared" si="1"/>
        <v>-0.038068412985568414</v>
      </c>
      <c r="Y9" s="79">
        <f>'GF15450'!S50</f>
        <v>0</v>
      </c>
      <c r="Z9" s="87">
        <f t="shared" si="2"/>
        <v>-0.038068412985568414</v>
      </c>
      <c r="AA9" s="95">
        <f t="shared" si="3"/>
        <v>0.0279042309715335</v>
      </c>
      <c r="AB9" s="95">
        <f t="shared" si="4"/>
        <v>0.030532993248186018</v>
      </c>
      <c r="AC9" t="s">
        <v>1055</v>
      </c>
    </row>
    <row r="10" spans="1:29" ht="12.75">
      <c r="A10" t="s">
        <v>184</v>
      </c>
      <c r="B10" s="11">
        <v>15500</v>
      </c>
      <c r="C10" s="2">
        <v>158133</v>
      </c>
      <c r="D10" s="2">
        <v>222316</v>
      </c>
      <c r="E10" s="2">
        <v>233762</v>
      </c>
      <c r="F10" s="2">
        <v>278053</v>
      </c>
      <c r="G10" s="2">
        <v>231817</v>
      </c>
      <c r="H10" s="2">
        <v>240647</v>
      </c>
      <c r="I10" s="2">
        <v>259646</v>
      </c>
      <c r="J10" s="2">
        <v>249921</v>
      </c>
      <c r="K10" s="2">
        <v>263070</v>
      </c>
      <c r="L10" s="2">
        <v>420252</v>
      </c>
      <c r="M10" s="2">
        <v>894797</v>
      </c>
      <c r="N10" s="2">
        <v>919719</v>
      </c>
      <c r="O10" s="2">
        <f>'GF15500'!O76</f>
        <v>298722</v>
      </c>
      <c r="P10" s="2">
        <f>'GF15500'!P76</f>
        <v>421619.93799999997</v>
      </c>
      <c r="Q10" s="2">
        <f>'GF15500'!Q76</f>
        <v>396207.12051</v>
      </c>
      <c r="R10" s="2">
        <f>'GF15500'!R76</f>
        <v>699985.4730199999</v>
      </c>
      <c r="S10" s="2">
        <f>'GF15500'!S76</f>
        <v>452244.22302</v>
      </c>
      <c r="T10" s="2">
        <f>'GF15500'!T76</f>
        <v>352244.22302</v>
      </c>
      <c r="U10" s="79">
        <f>'GF15500'!S78</f>
        <v>247741.24999999994</v>
      </c>
      <c r="V10" s="79">
        <f t="shared" si="0"/>
        <v>-100000</v>
      </c>
      <c r="W10" s="79">
        <f>'GF15500'!S79</f>
        <v>-56037.10251</v>
      </c>
      <c r="X10" s="119">
        <f t="shared" si="1"/>
        <v>0.14143386024428015</v>
      </c>
      <c r="Y10" s="79">
        <f>'GF15500'!S80</f>
        <v>100000</v>
      </c>
      <c r="Z10" s="87">
        <f t="shared" si="2"/>
        <v>-0.11095938264161108</v>
      </c>
      <c r="AA10" s="95">
        <f t="shared" si="3"/>
        <v>0.04637295487448774</v>
      </c>
      <c r="AB10" s="95">
        <f t="shared" si="4"/>
        <v>0.03952163881599571</v>
      </c>
      <c r="AC10" t="s">
        <v>1061</v>
      </c>
    </row>
    <row r="11" spans="1:29" ht="12.75">
      <c r="A11" t="s">
        <v>195</v>
      </c>
      <c r="B11" s="11">
        <v>15550</v>
      </c>
      <c r="C11" s="2">
        <v>173041</v>
      </c>
      <c r="D11" s="2">
        <v>178636</v>
      </c>
      <c r="E11" s="2">
        <v>203442</v>
      </c>
      <c r="F11" s="2">
        <v>215708</v>
      </c>
      <c r="G11" s="2">
        <v>265713</v>
      </c>
      <c r="H11" s="2">
        <v>276152</v>
      </c>
      <c r="I11" s="2">
        <v>446269</v>
      </c>
      <c r="J11" s="2">
        <v>435633</v>
      </c>
      <c r="K11" s="2">
        <v>346273</v>
      </c>
      <c r="L11" s="2">
        <v>309495</v>
      </c>
      <c r="M11" s="2">
        <v>281752</v>
      </c>
      <c r="N11" s="2">
        <v>408407</v>
      </c>
      <c r="O11" s="2">
        <f>'GF15550'!O21</f>
        <v>23076</v>
      </c>
      <c r="P11" s="2">
        <f>'GF15550'!P21</f>
        <v>178912</v>
      </c>
      <c r="Q11" s="2">
        <f>'GF15550'!Q21</f>
        <v>142863</v>
      </c>
      <c r="R11" s="2">
        <f>'GF15550'!R21</f>
        <v>156000</v>
      </c>
      <c r="S11" s="2">
        <f>'GF15550'!S21</f>
        <v>156000</v>
      </c>
      <c r="T11" s="2">
        <f>'GF15550'!T21</f>
        <v>156000</v>
      </c>
      <c r="U11" s="79">
        <f>'GF15550'!S23</f>
        <v>0</v>
      </c>
      <c r="V11" s="79">
        <f t="shared" si="0"/>
        <v>0</v>
      </c>
      <c r="W11" s="79">
        <f>'GF15550'!S24</f>
        <v>-13137</v>
      </c>
      <c r="X11" s="119">
        <f t="shared" si="1"/>
        <v>0.09195522983557675</v>
      </c>
      <c r="Y11" s="79">
        <f>'GF15550'!S25</f>
        <v>0</v>
      </c>
      <c r="Z11" s="87">
        <f t="shared" si="2"/>
        <v>0.09195522983557675</v>
      </c>
      <c r="AA11" s="95">
        <f t="shared" si="3"/>
        <v>0.015996182133873636</v>
      </c>
      <c r="AB11" s="95">
        <f t="shared" si="4"/>
        <v>0.017503127808416234</v>
      </c>
      <c r="AC11" t="s">
        <v>1062</v>
      </c>
    </row>
    <row r="12" spans="1:28" ht="12.75">
      <c r="A12" t="s">
        <v>349</v>
      </c>
      <c r="B12" s="11">
        <v>15600</v>
      </c>
      <c r="C12" s="2">
        <v>35584</v>
      </c>
      <c r="D12" s="2">
        <v>47933</v>
      </c>
      <c r="E12" s="2">
        <v>44439</v>
      </c>
      <c r="F12" s="2">
        <v>48404</v>
      </c>
      <c r="G12" s="2">
        <v>57113</v>
      </c>
      <c r="H12" s="2">
        <v>47704</v>
      </c>
      <c r="I12" s="2">
        <v>33528</v>
      </c>
      <c r="J12" s="2">
        <v>37633</v>
      </c>
      <c r="K12" s="2">
        <v>41914</v>
      </c>
      <c r="L12" s="2">
        <v>41858</v>
      </c>
      <c r="M12" s="2">
        <v>39122</v>
      </c>
      <c r="N12" s="20">
        <v>38255</v>
      </c>
      <c r="O12" s="2">
        <f>'GF15600'!O9</f>
        <v>40571</v>
      </c>
      <c r="P12" s="2">
        <f>'GF15600'!P9</f>
        <v>40571</v>
      </c>
      <c r="Q12" s="2">
        <f>'GF15600'!Q9</f>
        <v>42000</v>
      </c>
      <c r="R12" s="2">
        <f>'GF15600'!R9</f>
        <v>42000</v>
      </c>
      <c r="S12" s="2">
        <f>'GF15600'!S9</f>
        <v>42000</v>
      </c>
      <c r="T12" s="2">
        <f>'GF15600'!T9</f>
        <v>42000</v>
      </c>
      <c r="U12" s="79">
        <f>'GF15600'!S11</f>
        <v>0</v>
      </c>
      <c r="V12" s="79">
        <f t="shared" si="0"/>
        <v>0</v>
      </c>
      <c r="W12" s="79">
        <f>'GF15600'!S12</f>
        <v>0</v>
      </c>
      <c r="X12" s="119">
        <f t="shared" si="1"/>
        <v>0</v>
      </c>
      <c r="Y12" s="79">
        <f>'GF15600'!S11</f>
        <v>0</v>
      </c>
      <c r="Z12" s="87">
        <f t="shared" si="2"/>
        <v>0</v>
      </c>
      <c r="AA12" s="95">
        <f t="shared" si="3"/>
        <v>0.004306664420658287</v>
      </c>
      <c r="AB12" s="95">
        <f t="shared" si="4"/>
        <v>0.004712380563804371</v>
      </c>
    </row>
    <row r="13" spans="1:29" ht="12.75">
      <c r="A13" t="s">
        <v>196</v>
      </c>
      <c r="B13" s="11">
        <v>15650</v>
      </c>
      <c r="C13" s="2">
        <v>53061</v>
      </c>
      <c r="D13" s="2">
        <v>55005</v>
      </c>
      <c r="E13" s="2">
        <v>58719</v>
      </c>
      <c r="F13" s="2">
        <v>75545</v>
      </c>
      <c r="G13" s="2">
        <v>105675</v>
      </c>
      <c r="H13" s="2">
        <v>111178</v>
      </c>
      <c r="I13" s="2">
        <v>166930</v>
      </c>
      <c r="J13" s="2">
        <v>236975</v>
      </c>
      <c r="K13" s="2">
        <v>606818</v>
      </c>
      <c r="L13" s="2">
        <v>462487</v>
      </c>
      <c r="M13" s="2">
        <v>899811</v>
      </c>
      <c r="N13" s="2">
        <v>99573</v>
      </c>
      <c r="O13" s="2">
        <f>'GF15650'!O40</f>
        <v>54672</v>
      </c>
      <c r="P13" s="2">
        <f>'GF15650'!P40</f>
        <v>89812</v>
      </c>
      <c r="Q13" s="2">
        <f>'GF15650'!Q40</f>
        <v>105400</v>
      </c>
      <c r="R13" s="2">
        <f>'GF15650'!R40</f>
        <v>87500</v>
      </c>
      <c r="S13" s="2">
        <f>'GF15650'!S40</f>
        <v>87500</v>
      </c>
      <c r="T13" s="2">
        <f>'GF15650'!T40</f>
        <v>87500</v>
      </c>
      <c r="U13" s="79">
        <f>'GF15650'!S42</f>
        <v>0</v>
      </c>
      <c r="V13" s="79">
        <f t="shared" si="0"/>
        <v>0</v>
      </c>
      <c r="W13" s="79">
        <f>'GF15650'!S43</f>
        <v>17900</v>
      </c>
      <c r="X13" s="119">
        <f t="shared" si="1"/>
        <v>-0.1698292220113852</v>
      </c>
      <c r="Y13" s="79">
        <f>'GF15650'!S44</f>
        <v>0</v>
      </c>
      <c r="Z13" s="87">
        <f t="shared" si="2"/>
        <v>-0.1698292220113852</v>
      </c>
      <c r="AA13" s="95">
        <f t="shared" si="3"/>
        <v>0.008972217543038096</v>
      </c>
      <c r="AB13" s="95">
        <f t="shared" si="4"/>
        <v>0.009817459507925771</v>
      </c>
      <c r="AC13" t="s">
        <v>1063</v>
      </c>
    </row>
    <row r="14" spans="1:28" ht="12.75">
      <c r="A14" t="s">
        <v>203</v>
      </c>
      <c r="B14" s="11">
        <v>15950</v>
      </c>
      <c r="C14" s="2">
        <v>17971</v>
      </c>
      <c r="D14" s="2">
        <v>23581</v>
      </c>
      <c r="E14" s="2">
        <v>18935</v>
      </c>
      <c r="F14" s="2">
        <v>25342</v>
      </c>
      <c r="G14" s="2">
        <v>21363</v>
      </c>
      <c r="H14" s="2">
        <v>21460</v>
      </c>
      <c r="I14" s="2">
        <v>3495</v>
      </c>
      <c r="J14" s="2">
        <v>3495</v>
      </c>
      <c r="K14" s="2">
        <v>3945</v>
      </c>
      <c r="L14" s="2">
        <v>4245</v>
      </c>
      <c r="M14" s="2">
        <v>3745</v>
      </c>
      <c r="N14" s="2">
        <v>4745</v>
      </c>
      <c r="O14" s="2">
        <f>'GF15950'!O13</f>
        <v>4080</v>
      </c>
      <c r="P14" s="2">
        <f>'GF15950'!P13</f>
        <v>4250</v>
      </c>
      <c r="Q14" s="2">
        <f>'GF15950'!Q13</f>
        <v>4250</v>
      </c>
      <c r="R14" s="2">
        <f>'GF15950'!R13</f>
        <v>4250</v>
      </c>
      <c r="S14" s="2">
        <f>'GF15950'!S13</f>
        <v>4250</v>
      </c>
      <c r="T14" s="2">
        <f>'GF15950'!T13</f>
        <v>4250</v>
      </c>
      <c r="U14" s="79">
        <f>'GF15950'!S15</f>
        <v>0</v>
      </c>
      <c r="V14" s="79">
        <f t="shared" si="0"/>
        <v>0</v>
      </c>
      <c r="W14" s="79">
        <f>'GF15950'!S16</f>
        <v>0</v>
      </c>
      <c r="X14" s="119">
        <f t="shared" si="1"/>
        <v>0</v>
      </c>
      <c r="Y14" s="83">
        <f>'GF15950'!S17</f>
        <v>0</v>
      </c>
      <c r="Z14" s="87">
        <f t="shared" si="2"/>
        <v>0</v>
      </c>
      <c r="AA14" s="95">
        <f t="shared" si="3"/>
        <v>0.0004357934235189933</v>
      </c>
      <c r="AB14" s="95">
        <f t="shared" si="4"/>
        <v>0.0004768480332421089</v>
      </c>
    </row>
    <row r="15" spans="1:29" ht="12.75">
      <c r="A15" t="s">
        <v>205</v>
      </c>
      <c r="B15" s="11">
        <v>21500</v>
      </c>
      <c r="C15" s="2">
        <v>82518</v>
      </c>
      <c r="D15" s="2">
        <v>100517</v>
      </c>
      <c r="E15" s="2">
        <v>123167</v>
      </c>
      <c r="F15" s="2">
        <v>124311</v>
      </c>
      <c r="G15" s="2">
        <v>99128</v>
      </c>
      <c r="H15" s="2">
        <v>107248</v>
      </c>
      <c r="I15" s="2">
        <v>115740</v>
      </c>
      <c r="J15" s="2">
        <v>124035</v>
      </c>
      <c r="K15" s="2">
        <v>116502</v>
      </c>
      <c r="L15" s="2">
        <v>126972</v>
      </c>
      <c r="M15" s="2">
        <v>176843</v>
      </c>
      <c r="N15" s="2">
        <v>159439</v>
      </c>
      <c r="O15" s="2">
        <f>'GF21500'!O28</f>
        <v>108461</v>
      </c>
      <c r="P15" s="2">
        <f>'GF21500'!P28</f>
        <v>144956.33333333334</v>
      </c>
      <c r="Q15" s="2">
        <f>'GF21500'!Q28</f>
        <v>127374.36911</v>
      </c>
      <c r="R15" s="2">
        <f>'GF21500'!R28</f>
        <v>152100</v>
      </c>
      <c r="S15" s="2">
        <f>'GF21500'!S28</f>
        <v>143878.75</v>
      </c>
      <c r="T15" s="2">
        <f>'GF21500'!T28</f>
        <v>143878.75</v>
      </c>
      <c r="U15" s="79">
        <f>'GF21500'!S30</f>
        <v>8221.25</v>
      </c>
      <c r="V15" s="79">
        <f t="shared" si="0"/>
        <v>0</v>
      </c>
      <c r="W15" s="79">
        <f>'GF21500'!S31</f>
        <v>-16504.38089</v>
      </c>
      <c r="X15" s="119">
        <f t="shared" si="1"/>
        <v>0.1295737989151246</v>
      </c>
      <c r="Y15" s="79">
        <f>'GF21500'!S32</f>
        <v>0</v>
      </c>
      <c r="Z15" s="87">
        <f>(T15-Q15)/Q15</f>
        <v>0.1295737989151246</v>
      </c>
      <c r="AA15" s="95">
        <f t="shared" si="3"/>
        <v>0.014753273655090202</v>
      </c>
      <c r="AB15" s="95">
        <f t="shared" si="4"/>
        <v>0.01614312916772543</v>
      </c>
      <c r="AC15" t="s">
        <v>0</v>
      </c>
    </row>
    <row r="16" spans="1:29" ht="12.75">
      <c r="A16" t="s">
        <v>211</v>
      </c>
      <c r="B16" s="11">
        <v>21800</v>
      </c>
      <c r="C16" s="2">
        <v>173186</v>
      </c>
      <c r="D16" s="2">
        <v>177861</v>
      </c>
      <c r="E16" s="2">
        <v>186967</v>
      </c>
      <c r="F16" s="2">
        <v>207253</v>
      </c>
      <c r="G16" s="2">
        <v>221674</v>
      </c>
      <c r="H16" s="2">
        <v>225575</v>
      </c>
      <c r="I16" s="2">
        <v>279378</v>
      </c>
      <c r="J16" s="2">
        <v>270720</v>
      </c>
      <c r="K16" s="2">
        <v>286151</v>
      </c>
      <c r="L16" s="2">
        <v>295695</v>
      </c>
      <c r="M16" s="2">
        <v>260188</v>
      </c>
      <c r="N16" s="2">
        <v>252652</v>
      </c>
      <c r="O16" s="2">
        <f>'GF21800'!O47</f>
        <v>194950</v>
      </c>
      <c r="P16" s="2">
        <f>'GF21800'!P47</f>
        <v>282625</v>
      </c>
      <c r="Q16" s="2">
        <f>'GF21800'!Q47</f>
        <v>249534.62558</v>
      </c>
      <c r="R16" s="2">
        <f>'GF21800'!R47</f>
        <v>262888.9275</v>
      </c>
      <c r="S16" s="2">
        <f>'GF21800'!S47</f>
        <v>259688.9275</v>
      </c>
      <c r="T16" s="2">
        <f>'GF21800'!T47</f>
        <v>257338.9275</v>
      </c>
      <c r="U16" s="79">
        <f>'GF21800'!S49</f>
        <v>3200</v>
      </c>
      <c r="W16" s="79">
        <f>'GF21800'!S50</f>
        <v>-10154.301919999998</v>
      </c>
      <c r="X16" s="119">
        <f t="shared" si="1"/>
        <v>0.04069295752602703</v>
      </c>
      <c r="Y16" s="79">
        <f>'GF21800'!S51</f>
        <v>2350</v>
      </c>
      <c r="Z16" s="87">
        <f t="shared" si="2"/>
        <v>0.031275426814456116</v>
      </c>
      <c r="AA16" s="95">
        <f t="shared" si="3"/>
        <v>0.02662840629769427</v>
      </c>
      <c r="AB16" s="95">
        <f t="shared" si="4"/>
        <v>0.028873308577649096</v>
      </c>
      <c r="AC16" t="s">
        <v>2</v>
      </c>
    </row>
    <row r="17" spans="1:28" ht="12.75">
      <c r="A17" t="s">
        <v>214</v>
      </c>
      <c r="B17" s="11">
        <v>22000</v>
      </c>
      <c r="C17" s="2">
        <v>7071</v>
      </c>
      <c r="D17" s="2">
        <v>7908</v>
      </c>
      <c r="E17" s="2">
        <v>7908</v>
      </c>
      <c r="F17" s="2">
        <v>6620</v>
      </c>
      <c r="G17" s="2">
        <v>6588</v>
      </c>
      <c r="H17" s="2">
        <v>6503</v>
      </c>
      <c r="I17" s="2">
        <v>6459</v>
      </c>
      <c r="J17" s="2">
        <v>7715</v>
      </c>
      <c r="K17" s="2">
        <v>7900</v>
      </c>
      <c r="L17" s="2">
        <v>10013</v>
      </c>
      <c r="M17" s="2">
        <v>12617</v>
      </c>
      <c r="N17" s="2">
        <v>10364</v>
      </c>
      <c r="O17" s="2">
        <f>'GF22000'!O16</f>
        <v>5296</v>
      </c>
      <c r="P17" s="2">
        <f>'GF22000'!P16</f>
        <v>9340</v>
      </c>
      <c r="Q17" s="2">
        <f>'GF22000'!Q16</f>
        <v>9340</v>
      </c>
      <c r="R17" s="2">
        <f>'GF22000'!R16</f>
        <v>12446</v>
      </c>
      <c r="S17" s="2">
        <f>'GF22000'!S16</f>
        <v>9340</v>
      </c>
      <c r="T17" s="2">
        <f>'GF22000'!T16</f>
        <v>9340</v>
      </c>
      <c r="U17" s="79">
        <f>'GF22000'!S18</f>
        <v>3106</v>
      </c>
      <c r="V17" s="79">
        <f>T17-S17</f>
        <v>0</v>
      </c>
      <c r="W17" s="79">
        <f>'GF22000'!S19</f>
        <v>0</v>
      </c>
      <c r="X17" s="119">
        <f t="shared" si="1"/>
        <v>0</v>
      </c>
      <c r="Y17" s="79">
        <f>'GF22000'!S20</f>
        <v>0</v>
      </c>
      <c r="Z17" s="87">
        <f t="shared" si="2"/>
        <v>0</v>
      </c>
      <c r="AA17" s="95">
        <f t="shared" si="3"/>
        <v>0.0009577201354511524</v>
      </c>
      <c r="AB17" s="95">
        <f t="shared" si="4"/>
        <v>0.0010479436777603053</v>
      </c>
    </row>
    <row r="18" spans="1:29" ht="12.75">
      <c r="A18" s="33" t="s">
        <v>215</v>
      </c>
      <c r="B18" s="11">
        <v>24000</v>
      </c>
      <c r="C18" s="2">
        <v>99662</v>
      </c>
      <c r="D18" s="2">
        <v>109429</v>
      </c>
      <c r="E18" s="2">
        <v>115436</v>
      </c>
      <c r="F18" s="2">
        <v>126753</v>
      </c>
      <c r="G18" s="2">
        <v>131643</v>
      </c>
      <c r="H18" s="2">
        <v>133436</v>
      </c>
      <c r="I18" s="2">
        <v>146898</v>
      </c>
      <c r="J18" s="2">
        <v>153640</v>
      </c>
      <c r="K18" s="2">
        <v>171119</v>
      </c>
      <c r="L18" s="2">
        <v>185075</v>
      </c>
      <c r="M18" s="2">
        <v>192095</v>
      </c>
      <c r="N18" s="2">
        <v>157994</v>
      </c>
      <c r="O18" s="2">
        <f>'GF24000'!O31</f>
        <v>106266</v>
      </c>
      <c r="P18" s="2">
        <f>'GF24000'!P31</f>
        <v>162937</v>
      </c>
      <c r="Q18" s="2">
        <f>'GF24000'!Q31</f>
        <v>166308.24837999998</v>
      </c>
      <c r="R18" s="2">
        <f>'GF24000'!R31</f>
        <v>171207.4765</v>
      </c>
      <c r="S18" s="2">
        <f>'GF24000'!S31</f>
        <v>171207.4765</v>
      </c>
      <c r="T18" s="2">
        <f>'GF24000'!T31</f>
        <v>171207.4765</v>
      </c>
      <c r="U18" s="79">
        <f>'GF24000'!S33</f>
        <v>0</v>
      </c>
      <c r="V18" s="79">
        <f>T18-S18</f>
        <v>0</v>
      </c>
      <c r="W18" s="79">
        <f>'GF24000'!S34</f>
        <v>-4899.228120000014</v>
      </c>
      <c r="X18" s="119">
        <f t="shared" si="1"/>
        <v>0.029458719983663718</v>
      </c>
      <c r="Y18" s="79">
        <f>'GF24000'!S35</f>
        <v>0</v>
      </c>
      <c r="Z18" s="87">
        <f t="shared" si="2"/>
        <v>0.029458719983663718</v>
      </c>
      <c r="AA18" s="95">
        <f t="shared" si="3"/>
        <v>0.017555551133172375</v>
      </c>
      <c r="AB18" s="95">
        <f t="shared" si="4"/>
        <v>0.019209399634204607</v>
      </c>
      <c r="AC18" t="s">
        <v>1050</v>
      </c>
    </row>
    <row r="19" spans="1:29" ht="12.75">
      <c r="A19" t="s">
        <v>217</v>
      </c>
      <c r="B19" s="11">
        <v>24500</v>
      </c>
      <c r="C19" s="2">
        <v>110548</v>
      </c>
      <c r="D19" s="2">
        <v>115144</v>
      </c>
      <c r="E19" s="2">
        <v>124280</v>
      </c>
      <c r="F19" s="2">
        <v>145209</v>
      </c>
      <c r="G19" s="2">
        <v>147557</v>
      </c>
      <c r="H19" s="2">
        <v>153657</v>
      </c>
      <c r="I19" s="2">
        <v>166308</v>
      </c>
      <c r="J19" s="2">
        <v>192218</v>
      </c>
      <c r="K19" s="2">
        <v>208771</v>
      </c>
      <c r="L19" s="2">
        <v>221746</v>
      </c>
      <c r="M19" s="2">
        <v>237680</v>
      </c>
      <c r="N19" s="2">
        <v>253884</v>
      </c>
      <c r="O19" s="2">
        <f>'GF24500'!O35</f>
        <v>173369</v>
      </c>
      <c r="P19" s="2">
        <f>'GF24500'!P35</f>
        <v>261379</v>
      </c>
      <c r="Q19" s="2">
        <f>'GF24500'!Q35</f>
        <v>266391.12202</v>
      </c>
      <c r="R19" s="2">
        <f>'GF24500'!R35</f>
        <v>274395.5695</v>
      </c>
      <c r="S19" s="2">
        <f>'GF24500'!S35</f>
        <v>270685.5695</v>
      </c>
      <c r="T19" s="2">
        <f>'GF24500'!T35</f>
        <v>270685.5695</v>
      </c>
      <c r="U19" s="79">
        <f>'GF24500'!S37</f>
        <v>3710</v>
      </c>
      <c r="V19" s="79">
        <f>T19-S19</f>
        <v>0</v>
      </c>
      <c r="W19" s="79">
        <f>'GF24500'!S38</f>
        <v>-4294.447479999973</v>
      </c>
      <c r="X19" s="119">
        <f>(S19-Q19)/Q19</f>
        <v>0.016120835587296923</v>
      </c>
      <c r="Y19" s="79">
        <f>'GF24500'!S39</f>
        <v>0</v>
      </c>
      <c r="Z19" s="87">
        <f t="shared" si="2"/>
        <v>0.016120835587296923</v>
      </c>
      <c r="AA19" s="95">
        <f t="shared" si="3"/>
        <v>0.02775599788931609</v>
      </c>
      <c r="AB19" s="95">
        <f t="shared" si="4"/>
        <v>0.030370795633669453</v>
      </c>
      <c r="AC19" t="s">
        <v>1050</v>
      </c>
    </row>
    <row r="20" spans="1:28" ht="12.75">
      <c r="A20" t="s">
        <v>218</v>
      </c>
      <c r="B20" s="11">
        <v>26000</v>
      </c>
      <c r="C20" s="2">
        <v>3900</v>
      </c>
      <c r="D20" s="2">
        <v>975</v>
      </c>
      <c r="E20" s="2">
        <v>0</v>
      </c>
      <c r="F20" s="2">
        <v>59572</v>
      </c>
      <c r="G20" s="2">
        <v>63157</v>
      </c>
      <c r="H20" s="2">
        <v>62693</v>
      </c>
      <c r="I20" s="2">
        <v>57791</v>
      </c>
      <c r="J20" s="2">
        <v>63215</v>
      </c>
      <c r="K20" s="2">
        <v>58913</v>
      </c>
      <c r="L20" s="2">
        <v>58810</v>
      </c>
      <c r="M20" s="2">
        <v>15891</v>
      </c>
      <c r="N20" s="2"/>
      <c r="O20" s="2"/>
      <c r="P20" s="2"/>
      <c r="Q20" s="2"/>
      <c r="R20" s="2"/>
      <c r="S20" s="2"/>
      <c r="T20" s="2"/>
      <c r="W20" s="79">
        <f>'GF26000 legacy'!R17</f>
        <v>0</v>
      </c>
      <c r="X20" s="119"/>
      <c r="Y20" s="79">
        <f>'GF26000 legacy'!R18</f>
        <v>0</v>
      </c>
      <c r="Z20" s="87" t="e">
        <f t="shared" si="2"/>
        <v>#DIV/0!</v>
      </c>
      <c r="AA20" s="95">
        <f t="shared" si="3"/>
        <v>0</v>
      </c>
      <c r="AB20" s="95">
        <f t="shared" si="4"/>
        <v>0</v>
      </c>
    </row>
    <row r="21" spans="1:28" ht="12.75">
      <c r="A21" t="s">
        <v>219</v>
      </c>
      <c r="B21" s="11">
        <v>27000</v>
      </c>
      <c r="C21" s="2">
        <v>39186</v>
      </c>
      <c r="D21" s="2">
        <v>81764</v>
      </c>
      <c r="E21" s="2">
        <v>29469</v>
      </c>
      <c r="F21" s="2">
        <v>56110</v>
      </c>
      <c r="G21" s="2">
        <v>48758</v>
      </c>
      <c r="H21" s="2">
        <v>52494</v>
      </c>
      <c r="I21" s="2">
        <v>37895</v>
      </c>
      <c r="J21" s="2">
        <v>67927</v>
      </c>
      <c r="K21" s="2">
        <v>42577</v>
      </c>
      <c r="L21" s="2">
        <v>52522</v>
      </c>
      <c r="M21" s="2">
        <v>43750</v>
      </c>
      <c r="N21" s="2">
        <v>61305</v>
      </c>
      <c r="O21" s="2">
        <f>'GF27000'!O20</f>
        <v>37621</v>
      </c>
      <c r="P21" s="2">
        <f>'GF27000'!P20</f>
        <v>56431.5</v>
      </c>
      <c r="Q21" s="2">
        <f>'GF27000'!Q20</f>
        <v>46800</v>
      </c>
      <c r="R21" s="2">
        <f>'GF27000'!R20</f>
        <v>54800</v>
      </c>
      <c r="S21" s="2">
        <f>'GF27000'!S20</f>
        <v>54600</v>
      </c>
      <c r="T21" s="2">
        <f>'GF27000'!T20</f>
        <v>52400</v>
      </c>
      <c r="U21" s="79">
        <f>'GF27000'!S22</f>
        <v>200</v>
      </c>
      <c r="W21" s="79">
        <f>'GF27000'!S23</f>
        <v>-7800</v>
      </c>
      <c r="X21" s="119">
        <f t="shared" si="1"/>
        <v>0.16666666666666666</v>
      </c>
      <c r="Y21" s="79">
        <f>'GF27000'!S24</f>
        <v>2200</v>
      </c>
      <c r="Z21" s="87">
        <f t="shared" si="2"/>
        <v>0.11965811965811966</v>
      </c>
      <c r="AA21" s="95">
        <f t="shared" si="3"/>
        <v>0.005598663746855773</v>
      </c>
      <c r="AB21" s="95">
        <f t="shared" si="4"/>
        <v>0.005879255751032119</v>
      </c>
    </row>
    <row r="22" spans="1:28" ht="12.75">
      <c r="A22" t="s">
        <v>814</v>
      </c>
      <c r="B22" s="11">
        <v>27500</v>
      </c>
      <c r="C22" s="2"/>
      <c r="D22" s="2"/>
      <c r="E22" s="2"/>
      <c r="F22" s="2"/>
      <c r="G22" s="2">
        <v>2241</v>
      </c>
      <c r="H22" s="2">
        <v>1490</v>
      </c>
      <c r="I22" s="2">
        <v>454</v>
      </c>
      <c r="J22" s="2">
        <v>1503</v>
      </c>
      <c r="K22" s="2">
        <v>805</v>
      </c>
      <c r="L22" s="2">
        <v>544</v>
      </c>
      <c r="M22" s="2">
        <v>701</v>
      </c>
      <c r="N22" s="2">
        <v>1953</v>
      </c>
      <c r="O22" s="2">
        <f>'GF27500'!K10</f>
        <v>1741</v>
      </c>
      <c r="P22" s="2">
        <f>'GF27500'!L10</f>
        <v>1900</v>
      </c>
      <c r="Q22" s="2">
        <f>'GF27500'!M10</f>
        <v>1200</v>
      </c>
      <c r="R22" s="2">
        <f>'GF27500'!N10</f>
        <v>1200</v>
      </c>
      <c r="S22" s="2">
        <f>'GF27500'!O10</f>
        <v>1200</v>
      </c>
      <c r="T22" s="2">
        <f>'GF27500'!P10</f>
        <v>1200</v>
      </c>
      <c r="V22" s="79">
        <f>T22-S22</f>
        <v>0</v>
      </c>
      <c r="X22" s="119"/>
      <c r="Z22" s="87"/>
      <c r="AA22" s="95"/>
      <c r="AB22" s="95"/>
    </row>
    <row r="23" spans="1:28" ht="12.75">
      <c r="A23" t="s">
        <v>220</v>
      </c>
      <c r="B23" s="11">
        <v>28000</v>
      </c>
      <c r="C23" s="2">
        <v>43231</v>
      </c>
      <c r="D23" s="2">
        <v>44080</v>
      </c>
      <c r="E23" s="2">
        <v>43893</v>
      </c>
      <c r="F23" s="2">
        <v>57786</v>
      </c>
      <c r="G23" s="2">
        <v>51974</v>
      </c>
      <c r="H23" s="2">
        <v>51014</v>
      </c>
      <c r="I23" s="2">
        <v>50190</v>
      </c>
      <c r="J23" s="2">
        <v>36375</v>
      </c>
      <c r="K23" s="2">
        <v>48250</v>
      </c>
      <c r="L23" s="2">
        <v>67712</v>
      </c>
      <c r="M23" s="2">
        <v>61632</v>
      </c>
      <c r="N23" s="2">
        <v>71277</v>
      </c>
      <c r="O23" s="2">
        <f>'GF28000'!O12</f>
        <v>36639</v>
      </c>
      <c r="P23" s="2">
        <f>'GF28000'!P12</f>
        <v>71777</v>
      </c>
      <c r="Q23" s="2">
        <f>'GF28000'!Q12</f>
        <v>71277</v>
      </c>
      <c r="R23" s="2">
        <f>'GF28000'!R12</f>
        <v>68720</v>
      </c>
      <c r="S23" s="2">
        <f>'GF28000'!S12</f>
        <v>68720</v>
      </c>
      <c r="T23" s="2">
        <f>'GF28000'!T12</f>
        <v>68720</v>
      </c>
      <c r="U23" s="79">
        <f>'GF28000'!S14</f>
        <v>0</v>
      </c>
      <c r="V23" s="79">
        <f>T23-S23</f>
        <v>0</v>
      </c>
      <c r="W23" s="79">
        <f>'GF28000'!S15</f>
        <v>2557</v>
      </c>
      <c r="X23" s="119">
        <f t="shared" si="1"/>
        <v>-0.035874124893022996</v>
      </c>
      <c r="Y23" s="79">
        <f>'GF28000'!S16</f>
        <v>0</v>
      </c>
      <c r="Z23" s="87">
        <f t="shared" si="2"/>
        <v>-0.035874124893022996</v>
      </c>
      <c r="AA23" s="95">
        <f t="shared" si="3"/>
        <v>0.007046523309229463</v>
      </c>
      <c r="AB23" s="95">
        <f t="shared" si="4"/>
        <v>0.007710352198681818</v>
      </c>
    </row>
    <row r="24" spans="1:29" ht="12.75">
      <c r="A24" t="s">
        <v>221</v>
      </c>
      <c r="B24" s="11">
        <v>28100</v>
      </c>
      <c r="C24" s="2">
        <v>2213</v>
      </c>
      <c r="D24" s="2">
        <v>4077</v>
      </c>
      <c r="E24" s="2">
        <v>447</v>
      </c>
      <c r="F24" s="2">
        <v>1342</v>
      </c>
      <c r="G24" s="2">
        <v>9723</v>
      </c>
      <c r="H24" s="2">
        <v>3862</v>
      </c>
      <c r="I24" s="2">
        <v>2462</v>
      </c>
      <c r="J24" s="2">
        <v>7550</v>
      </c>
      <c r="K24" s="2">
        <v>16307</v>
      </c>
      <c r="L24" s="2">
        <v>11865</v>
      </c>
      <c r="M24" s="2">
        <v>6963</v>
      </c>
      <c r="N24" s="2">
        <v>3111</v>
      </c>
      <c r="O24" s="2">
        <f>'GF28100'!O18</f>
        <v>40789</v>
      </c>
      <c r="P24" s="2">
        <f>'GF28100'!P18</f>
        <v>61133.5</v>
      </c>
      <c r="Q24" s="2">
        <f>'GF28100'!Q18</f>
        <v>23574</v>
      </c>
      <c r="R24" s="2">
        <f>'GF28100'!R18</f>
        <v>26294.5</v>
      </c>
      <c r="S24" s="2">
        <f>'GF28100'!S18</f>
        <v>20294.5</v>
      </c>
      <c r="T24" s="2">
        <f>'GF28100'!T18</f>
        <v>20294.5</v>
      </c>
      <c r="U24" s="79">
        <f>'GF28100'!S20</f>
        <v>6000</v>
      </c>
      <c r="V24" s="79">
        <f>T24-S24</f>
        <v>0</v>
      </c>
      <c r="W24" s="79">
        <f>'GF28100'!S21</f>
        <v>3279.5</v>
      </c>
      <c r="X24" s="119">
        <f t="shared" si="1"/>
        <v>-0.13911512683464833</v>
      </c>
      <c r="Y24" s="79">
        <f>'GF28100'!S22</f>
        <v>0</v>
      </c>
      <c r="Z24" s="87">
        <f t="shared" si="2"/>
        <v>-0.13911512683464833</v>
      </c>
      <c r="AA24" s="95">
        <f t="shared" si="3"/>
        <v>0.0020809905020249906</v>
      </c>
      <c r="AB24" s="95">
        <f t="shared" si="4"/>
        <v>0.002277033508383995</v>
      </c>
      <c r="AC24" t="s">
        <v>7</v>
      </c>
    </row>
    <row r="25" spans="1:28" ht="12.75" hidden="1">
      <c r="A25" t="s">
        <v>661</v>
      </c>
      <c r="B25" s="11">
        <v>28110</v>
      </c>
      <c r="C25" s="2">
        <v>0</v>
      </c>
      <c r="D25" s="2">
        <v>0</v>
      </c>
      <c r="E25" s="2">
        <v>4539</v>
      </c>
      <c r="F25" s="2">
        <v>6051</v>
      </c>
      <c r="G25" s="2">
        <v>6050</v>
      </c>
      <c r="H25" s="2">
        <v>4538</v>
      </c>
      <c r="I25" s="2">
        <v>4538</v>
      </c>
      <c r="J25" s="2">
        <v>6050</v>
      </c>
      <c r="K25" s="2">
        <v>6050</v>
      </c>
      <c r="L25" s="2">
        <v>0</v>
      </c>
      <c r="M25" s="2">
        <v>0</v>
      </c>
      <c r="N25" s="2">
        <f>'GF28110 legacy'!L10</f>
        <v>0</v>
      </c>
      <c r="O25" s="2">
        <f>'GF28110 legacy'!M10</f>
        <v>0</v>
      </c>
      <c r="P25" s="2">
        <f>'GF28110 legacy'!N10</f>
        <v>0</v>
      </c>
      <c r="Q25" s="2">
        <f>'GF28110 legacy'!O10</f>
        <v>0</v>
      </c>
      <c r="R25" s="2">
        <f>'GF28110 legacy'!P10</f>
        <v>0</v>
      </c>
      <c r="S25" s="2">
        <f>'GF28110 legacy'!Q10</f>
        <v>0</v>
      </c>
      <c r="T25" s="2">
        <f>'GF28110 legacy'!R10</f>
        <v>0</v>
      </c>
      <c r="U25" s="79">
        <f>'GF28110 legacy'!Q12</f>
        <v>0</v>
      </c>
      <c r="W25" s="79">
        <f>'GF28110 legacy'!Q13</f>
        <v>0</v>
      </c>
      <c r="X25" s="119" t="e">
        <f t="shared" si="1"/>
        <v>#DIV/0!</v>
      </c>
      <c r="Y25" s="79">
        <f>'GF28110 legacy'!Q14</f>
        <v>0</v>
      </c>
      <c r="Z25" s="87" t="e">
        <f t="shared" si="2"/>
        <v>#DIV/0!</v>
      </c>
      <c r="AA25" s="95">
        <f t="shared" si="3"/>
        <v>0</v>
      </c>
      <c r="AB25" s="95">
        <f t="shared" si="4"/>
        <v>0</v>
      </c>
    </row>
    <row r="26" spans="1:29" ht="12.75">
      <c r="A26" t="s">
        <v>222</v>
      </c>
      <c r="B26" s="11">
        <v>33000</v>
      </c>
      <c r="C26" s="2">
        <v>874821</v>
      </c>
      <c r="D26" s="2">
        <v>975291</v>
      </c>
      <c r="E26" s="2">
        <v>996230</v>
      </c>
      <c r="F26" s="2">
        <v>1052328</v>
      </c>
      <c r="G26" s="2">
        <v>1095688</v>
      </c>
      <c r="H26" s="2">
        <v>1077882</v>
      </c>
      <c r="I26" s="2">
        <v>1254762</v>
      </c>
      <c r="J26" s="2">
        <v>1447823</v>
      </c>
      <c r="K26" s="2">
        <v>1458397</v>
      </c>
      <c r="L26" s="2">
        <v>1427620</v>
      </c>
      <c r="M26" s="2">
        <v>1403883</v>
      </c>
      <c r="N26" s="2">
        <v>1487376</v>
      </c>
      <c r="O26" s="2">
        <f>'GF33000'!O67</f>
        <v>1171415</v>
      </c>
      <c r="P26" s="2">
        <f>'GF33000'!P67</f>
        <v>1557154.6666666665</v>
      </c>
      <c r="Q26" s="2">
        <f>'GF33000'!Q67</f>
        <v>1588983.897015</v>
      </c>
      <c r="R26" s="2">
        <f>'GF33000'!R67</f>
        <v>1775820.5325</v>
      </c>
      <c r="S26" s="2">
        <f>'GF33000'!S67</f>
        <v>1714760.5325</v>
      </c>
      <c r="T26" s="2">
        <f>'GF33000'!T67</f>
        <v>1716260.5325</v>
      </c>
      <c r="U26" s="79">
        <f>'GF33000'!S69</f>
        <v>61060</v>
      </c>
      <c r="W26" s="79">
        <f>'GF33000'!S70</f>
        <v>-125776.63548499998</v>
      </c>
      <c r="X26" s="119">
        <f t="shared" si="1"/>
        <v>0.07915538711328593</v>
      </c>
      <c r="Y26" s="79">
        <f>'GF33000'!S71</f>
        <v>-1500</v>
      </c>
      <c r="Z26" s="87">
        <f t="shared" si="2"/>
        <v>0.08009938661058595</v>
      </c>
      <c r="AA26" s="95">
        <f t="shared" si="3"/>
        <v>0.17583090893492398</v>
      </c>
      <c r="AB26" s="95">
        <f t="shared" si="4"/>
        <v>0.19256363751851283</v>
      </c>
      <c r="AC26" t="s">
        <v>8</v>
      </c>
    </row>
    <row r="27" spans="1:29" ht="12.75">
      <c r="A27" t="s">
        <v>233</v>
      </c>
      <c r="B27" s="11">
        <v>33260</v>
      </c>
      <c r="C27" s="2">
        <v>580676</v>
      </c>
      <c r="D27" s="2">
        <v>542746</v>
      </c>
      <c r="E27" s="2">
        <v>639988</v>
      </c>
      <c r="F27" s="2">
        <v>721590</v>
      </c>
      <c r="G27" s="2">
        <v>725984</v>
      </c>
      <c r="H27" s="2">
        <v>753980</v>
      </c>
      <c r="I27" s="2">
        <v>777429</v>
      </c>
      <c r="J27" s="2">
        <v>904417</v>
      </c>
      <c r="K27" s="2">
        <v>991311</v>
      </c>
      <c r="L27" s="2">
        <v>998072</v>
      </c>
      <c r="M27" s="2">
        <v>971580</v>
      </c>
      <c r="N27" s="2">
        <v>956421</v>
      </c>
      <c r="O27" s="2">
        <f>'GF33260'!O50</f>
        <v>763775</v>
      </c>
      <c r="P27" s="2">
        <f>'GF33260'!P50</f>
        <v>1029350</v>
      </c>
      <c r="Q27" s="2">
        <f>'GF33260'!Q50</f>
        <v>1008463.9985</v>
      </c>
      <c r="R27" s="2">
        <f>'GF33260'!R50</f>
        <v>1051446.2295</v>
      </c>
      <c r="S27" s="2">
        <f>'GF33260'!S50</f>
        <v>1008746.2295</v>
      </c>
      <c r="T27" s="2">
        <f>'GF33260'!T50</f>
        <v>1008746.2295</v>
      </c>
      <c r="U27" s="79">
        <f>'GF33260'!S52</f>
        <v>42699.99999999988</v>
      </c>
      <c r="W27" s="79">
        <f>'GF33260'!S53</f>
        <v>-282.23100000002887</v>
      </c>
      <c r="X27" s="119">
        <f t="shared" si="1"/>
        <v>0.00027986224636657555</v>
      </c>
      <c r="Y27" s="79">
        <f>'GF33260'!S54</f>
        <v>0</v>
      </c>
      <c r="Z27" s="87">
        <f t="shared" si="2"/>
        <v>0.00027986224636657555</v>
      </c>
      <c r="AA27" s="95">
        <f t="shared" si="3"/>
        <v>0.10343646419192497</v>
      </c>
      <c r="AB27" s="95">
        <f t="shared" si="4"/>
        <v>0.11318086013587483</v>
      </c>
      <c r="AC27" t="s">
        <v>10</v>
      </c>
    </row>
    <row r="28" spans="1:28" ht="12.75">
      <c r="A28" t="s">
        <v>343</v>
      </c>
      <c r="B28" s="11">
        <v>34200</v>
      </c>
      <c r="C28" s="2">
        <v>0</v>
      </c>
      <c r="D28" s="2">
        <v>0</v>
      </c>
      <c r="E28" s="2">
        <v>0</v>
      </c>
      <c r="F28" s="2">
        <v>7898</v>
      </c>
      <c r="G28" s="2">
        <v>10278</v>
      </c>
      <c r="H28" s="2">
        <v>16538</v>
      </c>
      <c r="I28" s="2">
        <v>17931</v>
      </c>
      <c r="J28" s="2">
        <v>32461</v>
      </c>
      <c r="K28" s="2">
        <v>26774</v>
      </c>
      <c r="L28" s="2">
        <v>36968</v>
      </c>
      <c r="M28" s="2">
        <v>19098</v>
      </c>
      <c r="N28" s="2">
        <v>27886</v>
      </c>
      <c r="O28" s="2">
        <f>'GF34200'!N17</f>
        <v>20119</v>
      </c>
      <c r="P28" s="2">
        <f>'GF34200'!O17</f>
        <v>30870</v>
      </c>
      <c r="Q28" s="2">
        <f>'GF34200'!P17</f>
        <v>30000</v>
      </c>
      <c r="R28" s="2">
        <f>'GF34200'!Q17</f>
        <v>30000</v>
      </c>
      <c r="S28" s="2">
        <f>'GF34200'!R17</f>
        <v>30000</v>
      </c>
      <c r="T28" s="2">
        <f>'GF34200'!S17</f>
        <v>30000</v>
      </c>
      <c r="U28" s="79">
        <f>'GF34200'!R19</f>
        <v>0</v>
      </c>
      <c r="V28" s="79">
        <f>T28-S28</f>
        <v>0</v>
      </c>
      <c r="W28" s="79">
        <f>'GF34200'!R20</f>
        <v>0</v>
      </c>
      <c r="X28" s="119">
        <f t="shared" si="1"/>
        <v>0</v>
      </c>
      <c r="Y28" s="79">
        <f>'GF34200'!R21</f>
        <v>0</v>
      </c>
      <c r="Z28" s="87">
        <f t="shared" si="2"/>
        <v>0</v>
      </c>
      <c r="AA28" s="95">
        <f t="shared" si="3"/>
        <v>0.0030761888718987764</v>
      </c>
      <c r="AB28" s="95">
        <f t="shared" si="4"/>
        <v>0.0033659861170031217</v>
      </c>
    </row>
    <row r="29" spans="1:29" ht="12.75">
      <c r="A29" t="s">
        <v>243</v>
      </c>
      <c r="B29" s="11">
        <v>36000</v>
      </c>
      <c r="C29" s="2">
        <v>738226</v>
      </c>
      <c r="D29" s="2">
        <v>844120</v>
      </c>
      <c r="E29" s="2">
        <v>894600</v>
      </c>
      <c r="F29" s="2">
        <v>991800</v>
      </c>
      <c r="G29" s="2">
        <v>858911</v>
      </c>
      <c r="H29" s="2">
        <v>835838</v>
      </c>
      <c r="I29" s="2">
        <v>933437</v>
      </c>
      <c r="J29" s="2">
        <v>1325312</v>
      </c>
      <c r="K29" s="2">
        <v>1402333</v>
      </c>
      <c r="L29" s="2">
        <v>1643752</v>
      </c>
      <c r="M29" s="2">
        <v>1589316</v>
      </c>
      <c r="N29" s="2">
        <v>1810246</v>
      </c>
      <c r="O29" s="2">
        <f>'GF36000'!O60</f>
        <v>1247934</v>
      </c>
      <c r="P29" s="2">
        <f>'GF36000'!P60</f>
        <v>1799041.3333333333</v>
      </c>
      <c r="Q29" s="2">
        <f>'GF36000'!Q60</f>
        <v>1717833.94577</v>
      </c>
      <c r="R29" s="2">
        <f>'GF36000'!R60</f>
        <v>1841958.54375</v>
      </c>
      <c r="S29" s="2">
        <f>'GF36000'!S60</f>
        <v>1797770.082</v>
      </c>
      <c r="T29" s="2">
        <f>'GF36000'!T60</f>
        <v>1797770.082</v>
      </c>
      <c r="U29" s="79">
        <f>'GF36000'!S62</f>
        <v>44188.46175000002</v>
      </c>
      <c r="W29" s="79">
        <f>'GF36000'!S63</f>
        <v>-79936.13622999983</v>
      </c>
      <c r="X29" s="119">
        <f t="shared" si="1"/>
        <v>0.04653309851446051</v>
      </c>
      <c r="Y29" s="79">
        <f>'GF36000'!S64</f>
        <v>0</v>
      </c>
      <c r="Z29" s="87">
        <f t="shared" si="2"/>
        <v>0.04653309851446051</v>
      </c>
      <c r="AA29" s="95">
        <f t="shared" si="3"/>
        <v>0.18434267734936502</v>
      </c>
      <c r="AB29" s="95">
        <f t="shared" si="4"/>
        <v>0.2017089712525188</v>
      </c>
      <c r="AC29" t="s">
        <v>1050</v>
      </c>
    </row>
    <row r="30" spans="1:28" ht="12.75">
      <c r="A30" t="s">
        <v>246</v>
      </c>
      <c r="B30" s="11">
        <v>37000</v>
      </c>
      <c r="C30" s="2">
        <v>9300</v>
      </c>
      <c r="D30" s="2">
        <v>10985</v>
      </c>
      <c r="E30" s="2">
        <v>11930</v>
      </c>
      <c r="F30" s="2">
        <v>14303</v>
      </c>
      <c r="G30" s="2">
        <v>10672</v>
      </c>
      <c r="H30" s="2">
        <v>16461</v>
      </c>
      <c r="I30" s="2">
        <v>14950</v>
      </c>
      <c r="J30" s="2">
        <v>18403</v>
      </c>
      <c r="K30" s="2">
        <v>15312</v>
      </c>
      <c r="L30" s="2">
        <v>13765</v>
      </c>
      <c r="M30" s="2">
        <v>14459</v>
      </c>
      <c r="N30" s="2">
        <v>16564</v>
      </c>
      <c r="O30" s="2">
        <f>'GF37000'!O38</f>
        <v>11366</v>
      </c>
      <c r="P30" s="2">
        <f>'GF37000'!P38</f>
        <v>18091.5</v>
      </c>
      <c r="Q30" s="2">
        <f>'GF37000'!Q38</f>
        <v>15860.2455</v>
      </c>
      <c r="R30" s="2">
        <f>'GF37000'!R38</f>
        <v>19115.2455</v>
      </c>
      <c r="S30" s="2">
        <f>'GF37000'!S38</f>
        <v>13870.2455</v>
      </c>
      <c r="T30" s="2">
        <f>'GF37000'!T38</f>
        <v>13870.2455</v>
      </c>
      <c r="U30" s="79">
        <f>'GF37000'!S40</f>
        <v>5245</v>
      </c>
      <c r="W30" s="79">
        <f>'GF37000'!S41</f>
        <v>1990</v>
      </c>
      <c r="X30" s="119">
        <f t="shared" si="1"/>
        <v>-0.12547094557899496</v>
      </c>
      <c r="Y30" s="79">
        <f>'GF37000'!S42</f>
        <v>0</v>
      </c>
      <c r="Z30" s="87">
        <f t="shared" si="2"/>
        <v>-0.12547094557899496</v>
      </c>
      <c r="AA30" s="95">
        <f t="shared" si="3"/>
        <v>0.0014222498285868027</v>
      </c>
      <c r="AB30" s="95">
        <f t="shared" si="4"/>
        <v>0.0015562351264141675</v>
      </c>
    </row>
    <row r="31" spans="1:28" ht="12.75">
      <c r="A31" t="s">
        <v>249</v>
      </c>
      <c r="B31" s="11">
        <v>39100</v>
      </c>
      <c r="C31" s="2">
        <v>15000</v>
      </c>
      <c r="D31" s="2">
        <v>30000</v>
      </c>
      <c r="E31" s="2">
        <v>30000</v>
      </c>
      <c r="F31" s="2">
        <v>30000</v>
      </c>
      <c r="G31" s="2">
        <v>30000</v>
      </c>
      <c r="H31" s="2">
        <v>25000</v>
      </c>
      <c r="I31" s="2">
        <v>25000</v>
      </c>
      <c r="J31" s="2">
        <v>30000</v>
      </c>
      <c r="K31" s="2">
        <v>36000</v>
      </c>
      <c r="L31" s="2">
        <v>39000</v>
      </c>
      <c r="M31" s="2">
        <v>29925</v>
      </c>
      <c r="N31" s="2">
        <v>19925</v>
      </c>
      <c r="O31" s="2">
        <f>'GF39100'!O12</f>
        <v>32663</v>
      </c>
      <c r="P31" s="2">
        <f>'GF39100'!P12</f>
        <v>43550</v>
      </c>
      <c r="Q31" s="2">
        <f>'GF39100'!Q12</f>
        <v>43550</v>
      </c>
      <c r="R31" s="2">
        <f>'GF39100'!R12</f>
        <v>43550</v>
      </c>
      <c r="S31" s="2">
        <f>'GF39100'!S12</f>
        <v>30000</v>
      </c>
      <c r="T31" s="2">
        <f>'GF39100'!T12</f>
        <v>30000</v>
      </c>
      <c r="U31" s="79">
        <f>'GF39100'!S14</f>
        <v>13550</v>
      </c>
      <c r="W31" s="79">
        <f>'GF39100'!S15</f>
        <v>13550</v>
      </c>
      <c r="X31" s="119">
        <f t="shared" si="1"/>
        <v>-0.3111366245694604</v>
      </c>
      <c r="Y31" s="79">
        <f>'GF39100'!S16</f>
        <v>0</v>
      </c>
      <c r="Z31" s="87">
        <f t="shared" si="2"/>
        <v>-0.3111366245694604</v>
      </c>
      <c r="AA31" s="95">
        <f t="shared" si="3"/>
        <v>0.0030761888718987764</v>
      </c>
      <c r="AB31" s="95">
        <f t="shared" si="4"/>
        <v>0.0033659861170031217</v>
      </c>
    </row>
    <row r="32" spans="1:29" ht="12.75">
      <c r="A32" t="s">
        <v>250</v>
      </c>
      <c r="B32" s="11">
        <v>39200</v>
      </c>
      <c r="C32" s="2">
        <v>26050</v>
      </c>
      <c r="D32" s="2">
        <v>16085</v>
      </c>
      <c r="E32" s="2">
        <v>13612</v>
      </c>
      <c r="F32" s="2">
        <v>16334</v>
      </c>
      <c r="G32" s="2">
        <v>16290</v>
      </c>
      <c r="H32" s="2">
        <v>16890</v>
      </c>
      <c r="I32" s="2">
        <v>81532</v>
      </c>
      <c r="J32" s="2">
        <v>25689</v>
      </c>
      <c r="K32" s="2">
        <v>20498</v>
      </c>
      <c r="L32" s="2">
        <v>21898</v>
      </c>
      <c r="M32" s="2">
        <v>22077</v>
      </c>
      <c r="N32" s="2">
        <v>21643</v>
      </c>
      <c r="O32" s="2">
        <f>'GF39200'!O27</f>
        <v>15155</v>
      </c>
      <c r="P32" s="2">
        <f>'GF39200'!P27</f>
        <v>26870.5</v>
      </c>
      <c r="Q32" s="2">
        <f>'GF39200'!Q27</f>
        <v>27570.0375</v>
      </c>
      <c r="R32" s="2">
        <f>'GF39200'!R27</f>
        <v>28395</v>
      </c>
      <c r="S32" s="2">
        <f>'GF39200'!S27</f>
        <v>28426.5085</v>
      </c>
      <c r="T32" s="2">
        <f>'GF39200'!T27</f>
        <v>28426.5085</v>
      </c>
      <c r="U32" s="79">
        <f>'GF39200'!S29</f>
        <v>-31.508499999999913</v>
      </c>
      <c r="W32" s="79">
        <f>'GF39200'!S30</f>
        <v>-856.4710000000014</v>
      </c>
      <c r="X32" s="119">
        <f t="shared" si="1"/>
        <v>0.031065282374026566</v>
      </c>
      <c r="Y32" s="79">
        <f>'GF39200'!S31</f>
        <v>0</v>
      </c>
      <c r="Z32" s="87">
        <f t="shared" si="2"/>
        <v>0.031065282374026566</v>
      </c>
      <c r="AA32" s="95">
        <f t="shared" si="3"/>
        <v>0.0029148436371545326</v>
      </c>
      <c r="AB32" s="95">
        <f t="shared" si="4"/>
        <v>0.0031894410988623743</v>
      </c>
      <c r="AC32" t="s">
        <v>1050</v>
      </c>
    </row>
    <row r="33" spans="1:29" ht="12.75" hidden="1">
      <c r="A33" t="s">
        <v>251</v>
      </c>
      <c r="B33" s="11">
        <v>41000</v>
      </c>
      <c r="C33" s="2">
        <v>72278</v>
      </c>
      <c r="D33" s="2">
        <v>106763</v>
      </c>
      <c r="E33" s="2">
        <v>85268</v>
      </c>
      <c r="F33" s="2">
        <v>127835</v>
      </c>
      <c r="G33" s="2">
        <v>117743</v>
      </c>
      <c r="H33" s="2">
        <v>28343</v>
      </c>
      <c r="I33" s="2">
        <v>23490</v>
      </c>
      <c r="J33" s="2">
        <v>29170</v>
      </c>
      <c r="K33" s="2">
        <v>188</v>
      </c>
      <c r="L33" s="2">
        <v>0</v>
      </c>
      <c r="M33" s="2">
        <v>0</v>
      </c>
      <c r="N33" s="2">
        <f>'GF41000 legacy'!L37</f>
        <v>0</v>
      </c>
      <c r="O33" s="2">
        <f>'GF41000 legacy'!M37</f>
        <v>0</v>
      </c>
      <c r="P33" s="2">
        <f>'GF41000 legacy'!N37</f>
        <v>0</v>
      </c>
      <c r="Q33" s="2">
        <f>'GF41000 legacy'!O37</f>
        <v>0</v>
      </c>
      <c r="R33" s="2">
        <f>'GF41000 legacy'!P37</f>
        <v>0</v>
      </c>
      <c r="S33" s="2">
        <f>'GF41000 legacy'!Q37</f>
        <v>0</v>
      </c>
      <c r="T33" s="2">
        <f>'GF41000 legacy'!R37</f>
        <v>0</v>
      </c>
      <c r="U33" s="79">
        <f>'GF41000 legacy'!Q39</f>
        <v>0</v>
      </c>
      <c r="W33" s="79">
        <f>'GF41000 legacy'!Q40</f>
        <v>0</v>
      </c>
      <c r="X33" s="119" t="e">
        <f t="shared" si="1"/>
        <v>#DIV/0!</v>
      </c>
      <c r="Y33" s="79">
        <f>'GF41000 legacy'!Q41</f>
        <v>0</v>
      </c>
      <c r="Z33" s="87"/>
      <c r="AA33" s="95">
        <f t="shared" si="3"/>
        <v>0</v>
      </c>
      <c r="AB33" s="95">
        <f t="shared" si="4"/>
        <v>0</v>
      </c>
      <c r="AC33" t="s">
        <v>1050</v>
      </c>
    </row>
    <row r="34" spans="1:29" ht="12" customHeight="1">
      <c r="A34" t="s">
        <v>256</v>
      </c>
      <c r="B34" s="11">
        <v>42000</v>
      </c>
      <c r="C34" s="2">
        <v>710157</v>
      </c>
      <c r="D34" s="2">
        <v>719391</v>
      </c>
      <c r="E34" s="2">
        <v>778382</v>
      </c>
      <c r="F34" s="2">
        <v>763060</v>
      </c>
      <c r="G34" s="2">
        <v>712171</v>
      </c>
      <c r="H34" s="2">
        <v>804566</v>
      </c>
      <c r="I34" s="2">
        <v>786916</v>
      </c>
      <c r="J34" s="2">
        <v>1139844</v>
      </c>
      <c r="K34" s="2">
        <v>1094040</v>
      </c>
      <c r="L34" s="2">
        <v>1221074</v>
      </c>
      <c r="M34" s="2">
        <v>423307</v>
      </c>
      <c r="N34" s="2">
        <v>472264</v>
      </c>
      <c r="O34" s="2">
        <f>'GF42000'!O46</f>
        <v>308103</v>
      </c>
      <c r="P34" s="2">
        <f>'GF42000'!P46</f>
        <v>534821.8</v>
      </c>
      <c r="Q34" s="2">
        <f>'GF42000'!Q46</f>
        <v>538891</v>
      </c>
      <c r="R34" s="2">
        <f>'GF42000'!R46</f>
        <v>561708.9605</v>
      </c>
      <c r="S34" s="2">
        <f>'GF42000'!S46</f>
        <v>561808.9605</v>
      </c>
      <c r="T34" s="2">
        <f>'GF42000'!T46</f>
        <v>498870.87450000003</v>
      </c>
      <c r="U34" s="79">
        <f>'GF42000'!S48</f>
        <v>-100</v>
      </c>
      <c r="W34" s="79">
        <f>'GF42000'!S49</f>
        <v>-22917.960500000045</v>
      </c>
      <c r="X34" s="119">
        <f t="shared" si="1"/>
        <v>0.042528007519145886</v>
      </c>
      <c r="Y34" s="79">
        <f>'GF42000'!S50</f>
        <v>62938.08600000001</v>
      </c>
      <c r="Z34" s="87">
        <f t="shared" si="2"/>
        <v>-0.07426385948178753</v>
      </c>
      <c r="AA34" s="95">
        <f t="shared" si="3"/>
        <v>0.057607682414103974</v>
      </c>
      <c r="AB34" s="95">
        <f t="shared" si="4"/>
        <v>0.055973081258140225</v>
      </c>
      <c r="AC34" t="s">
        <v>1050</v>
      </c>
    </row>
    <row r="35" spans="1:29" ht="12.75" hidden="1">
      <c r="A35" t="s">
        <v>344</v>
      </c>
      <c r="B35" s="11">
        <v>44100</v>
      </c>
      <c r="C35" s="2">
        <v>0</v>
      </c>
      <c r="D35" s="2">
        <v>0</v>
      </c>
      <c r="E35" s="2">
        <v>0</v>
      </c>
      <c r="F35" s="2">
        <v>114490</v>
      </c>
      <c r="G35" s="2">
        <v>165782</v>
      </c>
      <c r="H35" s="2">
        <v>153192</v>
      </c>
      <c r="I35" s="2">
        <v>48340</v>
      </c>
      <c r="J35" s="2">
        <v>0</v>
      </c>
      <c r="K35" s="2">
        <v>0</v>
      </c>
      <c r="L35" s="2">
        <v>0</v>
      </c>
      <c r="M35" s="2">
        <v>0</v>
      </c>
      <c r="N35" s="2">
        <v>5433</v>
      </c>
      <c r="O35" s="2">
        <f>'GF44100 legacy'!L19</f>
        <v>0</v>
      </c>
      <c r="P35" s="2">
        <f>'GF44100 legacy'!M19</f>
        <v>0</v>
      </c>
      <c r="Q35" s="2">
        <f>'GF44100 legacy'!N19</f>
        <v>0</v>
      </c>
      <c r="R35" s="2">
        <f>'GF44100 legacy'!O19</f>
        <v>0</v>
      </c>
      <c r="S35" s="2">
        <f>'GF44100 legacy'!P19</f>
        <v>0</v>
      </c>
      <c r="T35" s="2">
        <f>'GF44100 legacy'!Q19</f>
        <v>0</v>
      </c>
      <c r="U35" s="79">
        <f>'GF44100 legacy'!P21</f>
        <v>0</v>
      </c>
      <c r="V35" s="79">
        <f>T35-S35</f>
        <v>0</v>
      </c>
      <c r="W35" s="79">
        <f>'GF44100 legacy'!P22</f>
        <v>0</v>
      </c>
      <c r="X35" s="119"/>
      <c r="Y35" s="79">
        <f>'GF44100 legacy'!P23</f>
        <v>0</v>
      </c>
      <c r="Z35" s="87"/>
      <c r="AA35" s="95">
        <f t="shared" si="3"/>
        <v>0</v>
      </c>
      <c r="AB35" s="95"/>
      <c r="AC35" t="s">
        <v>1050</v>
      </c>
    </row>
    <row r="36" spans="1:29" ht="12.75" hidden="1">
      <c r="A36" t="s">
        <v>345</v>
      </c>
      <c r="B36" s="11">
        <v>45410</v>
      </c>
      <c r="C36" s="2">
        <v>10079</v>
      </c>
      <c r="D36" s="2">
        <v>12671</v>
      </c>
      <c r="E36" s="2">
        <v>12842</v>
      </c>
      <c r="F36" s="2">
        <v>13452</v>
      </c>
      <c r="G36" s="2">
        <v>13515</v>
      </c>
      <c r="H36" s="2">
        <v>0</v>
      </c>
      <c r="I36" s="2"/>
      <c r="J36" s="2">
        <v>0</v>
      </c>
      <c r="K36" s="2">
        <v>0</v>
      </c>
      <c r="L36" s="2">
        <v>0</v>
      </c>
      <c r="M36" s="2">
        <v>0</v>
      </c>
      <c r="N36" s="2">
        <f>'GF45410 legacy'!K22</f>
        <v>0</v>
      </c>
      <c r="O36" s="2">
        <f>'GF45410 legacy'!L22</f>
        <v>0</v>
      </c>
      <c r="P36" s="2">
        <f>'GF45410 legacy'!M22</f>
        <v>0</v>
      </c>
      <c r="Q36" s="2">
        <f>'GF45410 legacy'!N22</f>
        <v>0</v>
      </c>
      <c r="R36" s="2">
        <f>'GF45410 legacy'!O22</f>
        <v>0</v>
      </c>
      <c r="S36" s="2">
        <f>'GF45410 legacy'!P22</f>
        <v>0</v>
      </c>
      <c r="T36" s="2">
        <f>'GF45410 legacy'!Q22</f>
        <v>0</v>
      </c>
      <c r="U36" s="79">
        <f>'GF45410 legacy'!P24</f>
        <v>0</v>
      </c>
      <c r="V36" s="79">
        <f>T36-S36</f>
        <v>0</v>
      </c>
      <c r="W36" s="79">
        <f>'GF45410 legacy'!P25</f>
        <v>0</v>
      </c>
      <c r="X36" s="119"/>
      <c r="Y36" s="79">
        <f>'GF45410 legacy'!P26</f>
        <v>0</v>
      </c>
      <c r="Z36" s="87"/>
      <c r="AA36" s="95">
        <f t="shared" si="3"/>
        <v>0</v>
      </c>
      <c r="AB36" s="95">
        <f aca="true" t="shared" si="5" ref="AB36:AB50">T36/T$52</f>
        <v>0</v>
      </c>
      <c r="AC36" t="s">
        <v>1050</v>
      </c>
    </row>
    <row r="37" spans="1:29" ht="12.75">
      <c r="A37" t="s">
        <v>346</v>
      </c>
      <c r="B37" s="11">
        <v>49000</v>
      </c>
      <c r="C37" s="2">
        <v>196321</v>
      </c>
      <c r="D37" s="2">
        <v>210643</v>
      </c>
      <c r="E37" s="2">
        <v>234035</v>
      </c>
      <c r="F37" s="2">
        <v>268760</v>
      </c>
      <c r="G37" s="2">
        <v>229379</v>
      </c>
      <c r="H37" s="2">
        <v>271423</v>
      </c>
      <c r="I37" s="2">
        <v>289845</v>
      </c>
      <c r="J37" s="2">
        <v>310406</v>
      </c>
      <c r="K37" s="2">
        <v>310946</v>
      </c>
      <c r="L37" s="2">
        <v>344259</v>
      </c>
      <c r="M37" s="2">
        <v>308098</v>
      </c>
      <c r="N37" s="2">
        <v>279883</v>
      </c>
      <c r="O37" s="2">
        <f>'GF49000'!O49</f>
        <v>263474</v>
      </c>
      <c r="P37" s="2">
        <f>'GF49000'!P49</f>
        <v>318413.4</v>
      </c>
      <c r="Q37" s="2">
        <f>'GF49000'!Q49</f>
        <v>381376.3968</v>
      </c>
      <c r="R37" s="2">
        <f>'GF49000'!R49</f>
        <v>405902.67565275</v>
      </c>
      <c r="S37" s="2">
        <f>'GF49000'!S49</f>
        <v>405902.67565275</v>
      </c>
      <c r="T37" s="2">
        <f>'GF49000'!T49</f>
        <v>405749.36250000005</v>
      </c>
      <c r="U37" s="79">
        <f>'GF49000'!S51</f>
        <v>0</v>
      </c>
      <c r="W37" s="79">
        <f>'GF49000'!S52</f>
        <v>-24526.278852750023</v>
      </c>
      <c r="X37" s="119">
        <f t="shared" si="1"/>
        <v>0.06430990239181478</v>
      </c>
      <c r="Y37" s="79">
        <f>'GF49000'!S53</f>
        <v>153.3131527499645</v>
      </c>
      <c r="Z37" s="87">
        <f t="shared" si="2"/>
        <v>0.06390790280810597</v>
      </c>
      <c r="AA37" s="95">
        <f t="shared" si="3"/>
        <v>0.04162110979723093</v>
      </c>
      <c r="AB37" s="95">
        <f t="shared" si="5"/>
        <v>0.04552489070526224</v>
      </c>
      <c r="AC37" t="s">
        <v>1050</v>
      </c>
    </row>
    <row r="38" spans="1:28" ht="12.75">
      <c r="A38" t="s">
        <v>277</v>
      </c>
      <c r="B38" s="11">
        <v>51000</v>
      </c>
      <c r="C38" s="2">
        <v>107849</v>
      </c>
      <c r="D38" s="2">
        <v>104403</v>
      </c>
      <c r="E38" s="2">
        <v>106572</v>
      </c>
      <c r="F38" s="2">
        <v>102192</v>
      </c>
      <c r="G38" s="2">
        <v>101431</v>
      </c>
      <c r="H38" s="2">
        <v>70366</v>
      </c>
      <c r="I38" s="2">
        <v>76746</v>
      </c>
      <c r="J38" s="2">
        <v>77018</v>
      </c>
      <c r="K38" s="2">
        <v>81652</v>
      </c>
      <c r="L38" s="2">
        <v>85599</v>
      </c>
      <c r="M38" s="2">
        <v>79199</v>
      </c>
      <c r="N38" s="2">
        <v>76244</v>
      </c>
      <c r="O38" s="2">
        <f>'GF51000'!O26</f>
        <v>61607</v>
      </c>
      <c r="P38" s="2">
        <f>'GF51000'!P26</f>
        <v>80825.2</v>
      </c>
      <c r="Q38" s="2">
        <f>'GF51000'!Q26</f>
        <v>76188</v>
      </c>
      <c r="R38" s="2">
        <f>'GF51000'!R26</f>
        <v>126760</v>
      </c>
      <c r="S38" s="2">
        <f>'GF51000'!S26</f>
        <v>76188</v>
      </c>
      <c r="T38" s="2">
        <f>'GF51000'!T26</f>
        <v>76188</v>
      </c>
      <c r="U38" s="79">
        <f>'GF51000'!S28</f>
        <v>50572</v>
      </c>
      <c r="W38" s="79">
        <f>'GF51000'!S29</f>
        <v>0</v>
      </c>
      <c r="X38" s="119">
        <f t="shared" si="1"/>
        <v>0</v>
      </c>
      <c r="Y38" s="79">
        <f>'GF51000'!S30</f>
        <v>0</v>
      </c>
      <c r="Z38" s="87">
        <f t="shared" si="2"/>
        <v>0</v>
      </c>
      <c r="AA38" s="95">
        <f t="shared" si="3"/>
        <v>0.007812289259074132</v>
      </c>
      <c r="AB38" s="95">
        <f t="shared" si="5"/>
        <v>0.008548258342741128</v>
      </c>
    </row>
    <row r="39" spans="1:28" ht="12.75">
      <c r="A39" t="s">
        <v>282</v>
      </c>
      <c r="B39" s="11">
        <v>54000</v>
      </c>
      <c r="C39" s="2">
        <v>5720</v>
      </c>
      <c r="D39" s="2">
        <v>1037</v>
      </c>
      <c r="E39" s="2">
        <v>60610</v>
      </c>
      <c r="F39" s="2">
        <v>66150</v>
      </c>
      <c r="G39" s="2">
        <v>61359</v>
      </c>
      <c r="H39" s="2">
        <v>75255</v>
      </c>
      <c r="I39" s="2">
        <v>106160</v>
      </c>
      <c r="J39" s="2">
        <v>107047</v>
      </c>
      <c r="K39" s="2">
        <v>146685</v>
      </c>
      <c r="L39" s="2">
        <v>134451</v>
      </c>
      <c r="M39" s="2">
        <v>58188</v>
      </c>
      <c r="N39" s="2">
        <v>40557</v>
      </c>
      <c r="O39" s="2">
        <f>'GF54000'!O23</f>
        <v>25500</v>
      </c>
      <c r="P39" s="2">
        <f>'GF54000'!P23</f>
        <v>34000</v>
      </c>
      <c r="Q39" s="2">
        <f>'GF54000'!Q23</f>
        <v>34000</v>
      </c>
      <c r="R39" s="2">
        <f>'GF54000'!R23</f>
        <v>41879</v>
      </c>
      <c r="S39" s="2">
        <f>'GF54000'!S23</f>
        <v>34000</v>
      </c>
      <c r="T39" s="2">
        <f>'GF54000'!T23</f>
        <v>34000</v>
      </c>
      <c r="U39" s="79">
        <f>'GF54000'!S25</f>
        <v>7879</v>
      </c>
      <c r="W39" s="79">
        <f>'GF54000'!S26</f>
        <v>0</v>
      </c>
      <c r="X39" s="119">
        <f t="shared" si="1"/>
        <v>0</v>
      </c>
      <c r="Y39" s="79">
        <f>'GF54000'!S27</f>
        <v>0</v>
      </c>
      <c r="Z39" s="87">
        <f t="shared" si="2"/>
        <v>0</v>
      </c>
      <c r="AA39" s="95">
        <f t="shared" si="3"/>
        <v>0.0034863473881519462</v>
      </c>
      <c r="AB39" s="95">
        <f t="shared" si="5"/>
        <v>0.0038147842659368714</v>
      </c>
    </row>
    <row r="40" spans="1:29" ht="12.75">
      <c r="A40" t="s">
        <v>284</v>
      </c>
      <c r="B40" s="11">
        <v>55200</v>
      </c>
      <c r="C40" s="2">
        <v>74261</v>
      </c>
      <c r="D40" s="2">
        <v>79456</v>
      </c>
      <c r="E40" s="2">
        <v>86250</v>
      </c>
      <c r="F40" s="2">
        <v>81402</v>
      </c>
      <c r="G40" s="2">
        <v>84981</v>
      </c>
      <c r="H40" s="2">
        <v>85651</v>
      </c>
      <c r="I40" s="2">
        <v>91324</v>
      </c>
      <c r="J40" s="2">
        <v>89406</v>
      </c>
      <c r="K40" s="2">
        <v>96664</v>
      </c>
      <c r="L40" s="2">
        <v>94284</v>
      </c>
      <c r="M40" s="2">
        <v>85310</v>
      </c>
      <c r="N40" s="2">
        <v>130601</v>
      </c>
      <c r="O40" s="2">
        <f>'GF55200'!O42</f>
        <v>86568</v>
      </c>
      <c r="P40" s="2">
        <f>'GF55200'!P42</f>
        <v>102571.19999999998</v>
      </c>
      <c r="Q40" s="2">
        <f>'GF55200'!Q42</f>
        <v>117741.523</v>
      </c>
      <c r="R40" s="2">
        <f>'GF55200'!R42</f>
        <v>116858.357025</v>
      </c>
      <c r="S40" s="2">
        <f>'GF55200'!S42</f>
        <v>107508.464675</v>
      </c>
      <c r="T40" s="2">
        <f>'GF55200'!T42</f>
        <v>107508.464675</v>
      </c>
      <c r="U40" s="79">
        <f>'GF55200'!T45</f>
        <v>9349.89235000001</v>
      </c>
      <c r="W40" s="79">
        <f>'GF55200'!T46</f>
        <v>10233.058325000005</v>
      </c>
      <c r="X40" s="119">
        <f t="shared" si="1"/>
        <v>-0.08691121079689113</v>
      </c>
      <c r="Y40" s="79">
        <f>'GF55200'!T47</f>
        <v>0</v>
      </c>
      <c r="Z40" s="87">
        <f t="shared" si="2"/>
        <v>-0.08691121079689113</v>
      </c>
      <c r="AA40" s="95">
        <f t="shared" si="3"/>
        <v>0.011023878088938588</v>
      </c>
      <c r="AB40" s="95">
        <f t="shared" si="5"/>
        <v>0.01206239998521235</v>
      </c>
      <c r="AC40" t="s">
        <v>1050</v>
      </c>
    </row>
    <row r="41" spans="1:29" ht="12.75">
      <c r="A41" t="s">
        <v>699</v>
      </c>
      <c r="B41" s="11">
        <v>55400</v>
      </c>
      <c r="C41" s="2">
        <v>44907</v>
      </c>
      <c r="D41" s="2">
        <v>48398</v>
      </c>
      <c r="E41" s="2">
        <v>50810</v>
      </c>
      <c r="F41" s="2">
        <v>53571</v>
      </c>
      <c r="G41" s="2">
        <v>60495</v>
      </c>
      <c r="H41" s="2">
        <v>56328</v>
      </c>
      <c r="I41" s="2">
        <v>61999</v>
      </c>
      <c r="J41" s="2">
        <v>60911</v>
      </c>
      <c r="K41" s="2">
        <v>69542</v>
      </c>
      <c r="L41" s="2">
        <v>69973</v>
      </c>
      <c r="M41" s="2">
        <v>76028</v>
      </c>
      <c r="N41" s="2">
        <v>45440</v>
      </c>
      <c r="O41" s="2">
        <f>'GF55400'!O40</f>
        <v>44414</v>
      </c>
      <c r="P41" s="2">
        <f>'GF55400'!P40</f>
        <v>56463.399999999994</v>
      </c>
      <c r="Q41" s="2">
        <f>'GF55400'!Q40</f>
        <v>42537.971000000005</v>
      </c>
      <c r="R41" s="2">
        <f>'GF55400'!R40</f>
        <v>48526.311499999996</v>
      </c>
      <c r="S41" s="2">
        <f>'GF55400'!S40</f>
        <v>47926.311499999996</v>
      </c>
      <c r="T41" s="2">
        <f>'GF55400'!T40</f>
        <v>47926.311499999996</v>
      </c>
      <c r="U41" s="79">
        <f>'GF55400'!S42</f>
        <v>600</v>
      </c>
      <c r="W41" s="79">
        <f>'GF55400'!S43</f>
        <v>-5388.340499999991</v>
      </c>
      <c r="X41" s="119">
        <f t="shared" si="1"/>
        <v>0.12667130973407242</v>
      </c>
      <c r="Y41" s="79">
        <f>'GF55400'!S44</f>
        <v>0</v>
      </c>
      <c r="Z41" s="87">
        <f t="shared" si="2"/>
        <v>0.12667130973407242</v>
      </c>
      <c r="AA41" s="95">
        <f t="shared" si="3"/>
        <v>0.004914346203581811</v>
      </c>
      <c r="AB41" s="95">
        <f t="shared" si="5"/>
        <v>0.005377309971605568</v>
      </c>
      <c r="AC41" t="s">
        <v>26</v>
      </c>
    </row>
    <row r="42" spans="1:28" ht="12.75">
      <c r="A42" t="s">
        <v>291</v>
      </c>
      <c r="B42" s="11">
        <v>61000</v>
      </c>
      <c r="C42" s="2">
        <v>166725</v>
      </c>
      <c r="D42" s="2">
        <v>201685</v>
      </c>
      <c r="E42" s="2">
        <v>189189</v>
      </c>
      <c r="F42" s="2">
        <v>209065</v>
      </c>
      <c r="G42" s="2">
        <v>219984</v>
      </c>
      <c r="H42" s="2">
        <v>213593</v>
      </c>
      <c r="I42" s="2">
        <v>220868</v>
      </c>
      <c r="J42" s="2">
        <v>251537</v>
      </c>
      <c r="K42" s="2">
        <v>271364</v>
      </c>
      <c r="L42" s="2">
        <v>248741</v>
      </c>
      <c r="M42" s="2">
        <v>237681</v>
      </c>
      <c r="N42" s="2">
        <v>219939</v>
      </c>
      <c r="O42" s="2">
        <f>'GF61000'!O65</f>
        <v>167894</v>
      </c>
      <c r="P42" s="2">
        <f>'GF61000'!P65</f>
        <v>245117.33333333334</v>
      </c>
      <c r="Q42" s="2">
        <f>'GF61000'!Q65</f>
        <v>243060.752</v>
      </c>
      <c r="R42" s="2">
        <f>'GF61000'!R65</f>
        <v>285722.6235</v>
      </c>
      <c r="S42" s="2">
        <f>'GF61000'!S65</f>
        <v>224344.1235</v>
      </c>
      <c r="T42" s="2">
        <f>'GF61000'!T65</f>
        <v>225944.1235</v>
      </c>
      <c r="U42" s="79">
        <f>'GF61000'!S67</f>
        <v>61378.5</v>
      </c>
      <c r="W42" s="79">
        <f>'GF61000'!S68</f>
        <v>18716.62850000002</v>
      </c>
      <c r="X42" s="119">
        <f t="shared" si="1"/>
        <v>-0.07700391093992838</v>
      </c>
      <c r="Y42" s="79">
        <f>'GF61000'!S69</f>
        <v>-1600</v>
      </c>
      <c r="Z42" s="87">
        <f t="shared" si="2"/>
        <v>-0.07042119453329108</v>
      </c>
      <c r="AA42" s="95">
        <f t="shared" si="3"/>
        <v>0.02300416320621949</v>
      </c>
      <c r="AB42" s="95">
        <f t="shared" si="5"/>
        <v>0.025350826097314625</v>
      </c>
    </row>
    <row r="43" spans="1:28" ht="12.75">
      <c r="A43" t="s">
        <v>305</v>
      </c>
      <c r="B43" s="11">
        <v>61900</v>
      </c>
      <c r="C43" s="2">
        <v>15000</v>
      </c>
      <c r="D43" s="2">
        <v>15000</v>
      </c>
      <c r="E43" s="2">
        <v>15000</v>
      </c>
      <c r="F43" s="2">
        <v>15000</v>
      </c>
      <c r="G43" s="2">
        <v>17500</v>
      </c>
      <c r="H43" s="2">
        <v>15000</v>
      </c>
      <c r="I43" s="2">
        <v>15000</v>
      </c>
      <c r="J43" s="2">
        <v>15000</v>
      </c>
      <c r="K43" s="2">
        <v>17500</v>
      </c>
      <c r="L43" s="2">
        <v>15000</v>
      </c>
      <c r="M43" s="2">
        <v>17100</v>
      </c>
      <c r="N43" s="2">
        <v>15000</v>
      </c>
      <c r="O43" s="2">
        <f>'GF61900'!O10</f>
        <v>11250</v>
      </c>
      <c r="P43" s="2">
        <f>'GF61900'!P10</f>
        <v>15000</v>
      </c>
      <c r="Q43" s="2">
        <f>'GF61900'!Q10</f>
        <v>15000</v>
      </c>
      <c r="R43" s="2">
        <f>'GF61900'!R10</f>
        <v>15000</v>
      </c>
      <c r="S43" s="2">
        <f>'GF61900'!S10</f>
        <v>15000</v>
      </c>
      <c r="T43" s="2">
        <f>'GF61900'!T10</f>
        <v>0</v>
      </c>
      <c r="U43" s="79">
        <f>'GF61900'!S12</f>
        <v>0</v>
      </c>
      <c r="W43" s="79">
        <f>'GF61900'!S13</f>
        <v>0</v>
      </c>
      <c r="X43" s="119">
        <f t="shared" si="1"/>
        <v>0</v>
      </c>
      <c r="Y43" s="79">
        <f>'GF61900'!S14</f>
        <v>15000</v>
      </c>
      <c r="Z43" s="87">
        <f t="shared" si="2"/>
        <v>-1</v>
      </c>
      <c r="AA43" s="95">
        <f t="shared" si="3"/>
        <v>0.0015380944359493882</v>
      </c>
      <c r="AB43" s="95">
        <f t="shared" si="5"/>
        <v>0</v>
      </c>
    </row>
    <row r="44" spans="1:28" ht="12.75">
      <c r="A44" s="33" t="s">
        <v>306</v>
      </c>
      <c r="B44" s="11">
        <v>65100</v>
      </c>
      <c r="C44" s="2">
        <v>80709</v>
      </c>
      <c r="D44" s="2">
        <v>82663</v>
      </c>
      <c r="E44" s="2">
        <v>94419</v>
      </c>
      <c r="F44" s="2">
        <v>95028</v>
      </c>
      <c r="G44" s="2">
        <v>93920</v>
      </c>
      <c r="H44" s="2">
        <v>67500</v>
      </c>
      <c r="I44" s="2">
        <v>127504</v>
      </c>
      <c r="J44" s="2">
        <v>158927</v>
      </c>
      <c r="K44" s="2">
        <v>633532</v>
      </c>
      <c r="L44" s="2">
        <v>101400</v>
      </c>
      <c r="M44" s="2">
        <v>81000</v>
      </c>
      <c r="N44" s="2">
        <v>81000</v>
      </c>
      <c r="O44" s="2">
        <f>'GF65100'!O21</f>
        <v>77300</v>
      </c>
      <c r="P44" s="2">
        <f>'GF65100'!P21</f>
        <v>77400</v>
      </c>
      <c r="Q44" s="2">
        <f>'GF65100'!Q21</f>
        <v>77000</v>
      </c>
      <c r="R44" s="2">
        <f>'GF65100'!R21</f>
        <v>77000</v>
      </c>
      <c r="S44" s="2">
        <f>'GF65100'!S21</f>
        <v>77000</v>
      </c>
      <c r="T44" s="2">
        <f>'GF65100'!T21</f>
        <v>77000</v>
      </c>
      <c r="U44" s="79">
        <f>'GF65100'!S23</f>
        <v>0</v>
      </c>
      <c r="W44" s="79">
        <f>'GF65100'!S24</f>
        <v>0</v>
      </c>
      <c r="X44" s="119">
        <f t="shared" si="1"/>
        <v>0</v>
      </c>
      <c r="Y44" s="79">
        <f>'GF65100'!S25</f>
        <v>0</v>
      </c>
      <c r="Z44" s="87">
        <f t="shared" si="2"/>
        <v>0</v>
      </c>
      <c r="AA44" s="95">
        <f t="shared" si="3"/>
        <v>0.007895551437873526</v>
      </c>
      <c r="AB44" s="95">
        <f t="shared" si="5"/>
        <v>0.00863936436697468</v>
      </c>
    </row>
    <row r="45" spans="1:29" ht="12.75">
      <c r="A45" t="s">
        <v>308</v>
      </c>
      <c r="B45" s="11">
        <v>71300</v>
      </c>
      <c r="C45" s="2">
        <v>64232</v>
      </c>
      <c r="D45" s="2">
        <v>64032</v>
      </c>
      <c r="E45" s="2">
        <v>68384</v>
      </c>
      <c r="F45" s="2">
        <v>68967</v>
      </c>
      <c r="G45" s="2">
        <v>77882</v>
      </c>
      <c r="H45" s="2">
        <v>74961</v>
      </c>
      <c r="I45" s="2">
        <v>72090</v>
      </c>
      <c r="J45" s="2">
        <v>81267</v>
      </c>
      <c r="K45" s="2">
        <v>81298</v>
      </c>
      <c r="L45" s="2">
        <v>76933</v>
      </c>
      <c r="M45" s="2">
        <v>70107</v>
      </c>
      <c r="N45" s="2">
        <v>70439</v>
      </c>
      <c r="O45" s="2">
        <f>'GF71300'!O47</f>
        <v>53852</v>
      </c>
      <c r="P45" s="2">
        <f>'GF71300'!P47</f>
        <v>71697.99999999997</v>
      </c>
      <c r="Q45" s="2">
        <f>'GF71300'!Q47</f>
        <v>71727.8175</v>
      </c>
      <c r="R45" s="2">
        <f>'GF71300'!R47</f>
        <v>79478.5675</v>
      </c>
      <c r="S45" s="2">
        <f>'GF71300'!S47</f>
        <v>72426.87950000001</v>
      </c>
      <c r="T45" s="2">
        <f>'GF71300'!T47</f>
        <v>72426.87950000001</v>
      </c>
      <c r="U45" s="79">
        <f>'GF71300'!S49</f>
        <v>7051.687999999995</v>
      </c>
      <c r="W45" s="79">
        <f>'GF71300'!S50</f>
        <v>-699.0620000000054</v>
      </c>
      <c r="X45" s="119">
        <f t="shared" si="1"/>
        <v>0.009746037511876133</v>
      </c>
      <c r="Y45" s="79">
        <f>'GF71300'!S51</f>
        <v>0</v>
      </c>
      <c r="Z45" s="87">
        <f t="shared" si="2"/>
        <v>0.009746037511876133</v>
      </c>
      <c r="AA45" s="95">
        <f t="shared" si="3"/>
        <v>0.007426625358141788</v>
      </c>
      <c r="AB45" s="95">
        <f t="shared" si="5"/>
        <v>0.008126262363161935</v>
      </c>
      <c r="AC45" t="s">
        <v>1050</v>
      </c>
    </row>
    <row r="46" spans="1:28" ht="12.75">
      <c r="A46" t="s">
        <v>310</v>
      </c>
      <c r="B46" s="11">
        <v>71400</v>
      </c>
      <c r="C46" s="2">
        <v>1878</v>
      </c>
      <c r="D46" s="2">
        <v>1408</v>
      </c>
      <c r="E46" s="2">
        <v>1878</v>
      </c>
      <c r="F46" s="2">
        <v>2340</v>
      </c>
      <c r="G46" s="2">
        <v>2340</v>
      </c>
      <c r="H46" s="2">
        <v>2340</v>
      </c>
      <c r="I46" s="2">
        <v>2340</v>
      </c>
      <c r="J46" s="2">
        <v>2340</v>
      </c>
      <c r="K46" s="2">
        <v>2352</v>
      </c>
      <c r="L46" s="2">
        <v>2352</v>
      </c>
      <c r="M46" s="2">
        <v>0</v>
      </c>
      <c r="N46" s="2">
        <v>0</v>
      </c>
      <c r="O46" s="2">
        <f>'GF71400 legacy'!O9</f>
        <v>0</v>
      </c>
      <c r="P46" s="2">
        <f>'GF71400 legacy'!P9</f>
        <v>0</v>
      </c>
      <c r="Q46" s="2">
        <f>'GF71400 legacy'!Q9</f>
        <v>0</v>
      </c>
      <c r="R46" s="2">
        <f>'GF71400 legacy'!R9</f>
        <v>0</v>
      </c>
      <c r="S46" s="2">
        <f>'GF71400 legacy'!S9</f>
        <v>0</v>
      </c>
      <c r="T46" s="2">
        <f>'GF71400 legacy'!T9</f>
        <v>0</v>
      </c>
      <c r="U46" s="79">
        <f>'GF71400 legacy'!S11</f>
        <v>0</v>
      </c>
      <c r="W46" s="79">
        <f>'GF71400 legacy'!S12</f>
        <v>0</v>
      </c>
      <c r="X46" s="119"/>
      <c r="Y46" s="79">
        <f>'GF71400 legacy'!S13</f>
        <v>0</v>
      </c>
      <c r="Z46" s="87" t="e">
        <f t="shared" si="2"/>
        <v>#DIV/0!</v>
      </c>
      <c r="AA46" s="95">
        <f t="shared" si="3"/>
        <v>0</v>
      </c>
      <c r="AB46" s="95">
        <f t="shared" si="5"/>
        <v>0</v>
      </c>
    </row>
    <row r="47" spans="1:29" ht="12.75">
      <c r="A47" t="s">
        <v>311</v>
      </c>
      <c r="B47" s="11">
        <v>75000</v>
      </c>
      <c r="C47" s="2">
        <v>107818</v>
      </c>
      <c r="D47" s="2">
        <v>208966</v>
      </c>
      <c r="E47" s="2">
        <v>0</v>
      </c>
      <c r="F47" s="2">
        <v>160494</v>
      </c>
      <c r="G47" s="2">
        <v>194340</v>
      </c>
      <c r="H47" s="2">
        <v>71921</v>
      </c>
      <c r="I47" s="2">
        <v>63927</v>
      </c>
      <c r="J47" s="2">
        <v>96453</v>
      </c>
      <c r="K47" s="2">
        <v>150372</v>
      </c>
      <c r="L47" s="2">
        <v>157160</v>
      </c>
      <c r="M47" s="2">
        <v>91927</v>
      </c>
      <c r="N47" s="2">
        <v>174406</v>
      </c>
      <c r="O47" s="2">
        <f>'GF75000'!O45</f>
        <v>133562</v>
      </c>
      <c r="P47" s="2">
        <f>'GF75000'!P45</f>
        <v>209373.3333333333</v>
      </c>
      <c r="Q47" s="2">
        <f>'GF75000'!Q45</f>
        <v>220724.7235</v>
      </c>
      <c r="R47" s="2">
        <f>'GF75000'!R45</f>
        <v>253470.876</v>
      </c>
      <c r="S47" s="2">
        <f>'GF75000'!S45</f>
        <v>215220.876</v>
      </c>
      <c r="T47" s="2">
        <f>'GF75000'!T45</f>
        <v>215220.876</v>
      </c>
      <c r="U47" s="79">
        <f>'GF75000'!S47</f>
        <v>38250</v>
      </c>
      <c r="W47" s="79">
        <f>'GF75000'!S48</f>
        <v>5503.8475000000035</v>
      </c>
      <c r="X47" s="119">
        <f t="shared" si="1"/>
        <v>-0.024935346674021336</v>
      </c>
      <c r="Y47" s="79">
        <f>'GF75000'!S49</f>
        <v>0</v>
      </c>
      <c r="Z47" s="87">
        <f t="shared" si="2"/>
        <v>-0.024935346674021336</v>
      </c>
      <c r="AA47" s="95">
        <f t="shared" si="3"/>
        <v>0.02206866879171688</v>
      </c>
      <c r="AB47" s="95">
        <f t="shared" si="5"/>
        <v>0.02414768269017501</v>
      </c>
      <c r="AC47" t="s">
        <v>38</v>
      </c>
    </row>
    <row r="48" spans="1:29" ht="12.75">
      <c r="A48" t="s">
        <v>315</v>
      </c>
      <c r="B48" s="11">
        <v>75630</v>
      </c>
      <c r="C48" s="2">
        <v>10000</v>
      </c>
      <c r="D48" s="2">
        <v>34910</v>
      </c>
      <c r="E48" s="2">
        <v>10000</v>
      </c>
      <c r="F48" s="2">
        <v>23363</v>
      </c>
      <c r="G48" s="2">
        <v>12850</v>
      </c>
      <c r="H48" s="2">
        <v>12440</v>
      </c>
      <c r="I48" s="2"/>
      <c r="J48" s="2">
        <v>7250</v>
      </c>
      <c r="K48" s="2">
        <v>7250</v>
      </c>
      <c r="L48" s="2">
        <v>13250</v>
      </c>
      <c r="M48" s="2">
        <v>6199</v>
      </c>
      <c r="N48" s="2">
        <v>3500</v>
      </c>
      <c r="O48" s="2">
        <f>'GF75630'!O18</f>
        <v>2625</v>
      </c>
      <c r="P48" s="2">
        <f>'GF75630'!P18</f>
        <v>3500</v>
      </c>
      <c r="Q48" s="2">
        <f>'GF75630'!Q18</f>
        <v>3500</v>
      </c>
      <c r="R48" s="2">
        <f>'GF75630'!R18</f>
        <v>0</v>
      </c>
      <c r="S48" s="2">
        <f>'GF75630'!S18</f>
        <v>0</v>
      </c>
      <c r="T48" s="2">
        <f>'GF75630'!T18</f>
        <v>0</v>
      </c>
      <c r="U48" s="79">
        <f>'GF75630'!S20</f>
        <v>0</v>
      </c>
      <c r="W48" s="79">
        <f>'GF75630'!S21</f>
        <v>3500</v>
      </c>
      <c r="X48" s="119">
        <f t="shared" si="1"/>
        <v>-1</v>
      </c>
      <c r="Y48" s="79">
        <f>'GF75630'!S22</f>
        <v>0</v>
      </c>
      <c r="Z48" s="87"/>
      <c r="AA48" s="95">
        <f t="shared" si="3"/>
        <v>0</v>
      </c>
      <c r="AB48" s="95">
        <f t="shared" si="5"/>
        <v>0</v>
      </c>
      <c r="AC48" t="s">
        <v>39</v>
      </c>
    </row>
    <row r="49" spans="1:28" ht="12.75">
      <c r="A49" t="s">
        <v>317</v>
      </c>
      <c r="B49" s="11">
        <v>76300</v>
      </c>
      <c r="C49" s="2">
        <v>4500</v>
      </c>
      <c r="D49" s="2">
        <v>4500</v>
      </c>
      <c r="E49" s="2">
        <v>4500</v>
      </c>
      <c r="F49" s="2">
        <v>4500</v>
      </c>
      <c r="G49" s="2">
        <v>5500</v>
      </c>
      <c r="H49" s="2">
        <v>1125</v>
      </c>
      <c r="I49" s="2">
        <v>4625</v>
      </c>
      <c r="J49" s="2">
        <v>4600</v>
      </c>
      <c r="K49" s="2">
        <v>100</v>
      </c>
      <c r="L49" s="2">
        <v>100</v>
      </c>
      <c r="M49" s="2">
        <v>855</v>
      </c>
      <c r="N49" s="2">
        <v>0</v>
      </c>
      <c r="O49" s="2">
        <f>'GF76300'!O11</f>
        <v>100</v>
      </c>
      <c r="P49" s="2">
        <f>'GF76300'!P11</f>
        <v>100</v>
      </c>
      <c r="Q49" s="2">
        <f>'GF76300'!Q11</f>
        <v>100</v>
      </c>
      <c r="R49" s="2">
        <f>'GF76300'!R11</f>
        <v>100</v>
      </c>
      <c r="S49" s="2">
        <f>'GF76300'!S11</f>
        <v>100</v>
      </c>
      <c r="T49" s="2">
        <f>'GF76300'!T11</f>
        <v>100</v>
      </c>
      <c r="U49" s="79">
        <f>'GF76300'!S13</f>
        <v>0</v>
      </c>
      <c r="W49" s="79">
        <f>'GF76300'!S14</f>
        <v>0</v>
      </c>
      <c r="X49" s="119">
        <f t="shared" si="1"/>
        <v>0</v>
      </c>
      <c r="Y49" s="79">
        <f>'GF76300'!S15</f>
        <v>0</v>
      </c>
      <c r="Z49" s="87">
        <f t="shared" si="2"/>
        <v>0</v>
      </c>
      <c r="AA49" s="95">
        <f t="shared" si="3"/>
        <v>1.0253962906329255E-05</v>
      </c>
      <c r="AB49" s="95">
        <f t="shared" si="5"/>
        <v>1.1219953723343739E-05</v>
      </c>
    </row>
    <row r="50" spans="1:28" ht="12.75">
      <c r="A50" t="s">
        <v>358</v>
      </c>
      <c r="B50" s="11">
        <v>76400</v>
      </c>
      <c r="C50" s="5"/>
      <c r="D50" s="5"/>
      <c r="E50" s="2">
        <v>0</v>
      </c>
      <c r="F50" s="2">
        <v>0</v>
      </c>
      <c r="G50" s="2">
        <v>25000</v>
      </c>
      <c r="H50" s="2">
        <v>20000</v>
      </c>
      <c r="I50" s="2">
        <v>20000</v>
      </c>
      <c r="J50" s="2">
        <v>20000</v>
      </c>
      <c r="K50" s="2">
        <v>25000</v>
      </c>
      <c r="L50" s="2">
        <v>26884</v>
      </c>
      <c r="M50" s="2">
        <v>22907</v>
      </c>
      <c r="N50" s="2">
        <v>15000</v>
      </c>
      <c r="O50" s="2">
        <f>'GF76400'!O10</f>
        <v>12835</v>
      </c>
      <c r="P50" s="2">
        <f>'GF76400'!P10</f>
        <v>13250</v>
      </c>
      <c r="Q50" s="2">
        <f>'GF76400'!Q10</f>
        <v>12750</v>
      </c>
      <c r="R50" s="2">
        <f>'GF76400'!R10</f>
        <v>15000</v>
      </c>
      <c r="S50" s="2">
        <f>'GF76400'!S10</f>
        <v>12750</v>
      </c>
      <c r="T50" s="2">
        <f>'GF76400'!T10</f>
        <v>12750</v>
      </c>
      <c r="U50" s="79">
        <f>'GF76400'!S12</f>
        <v>2250</v>
      </c>
      <c r="W50" s="79">
        <f>'GF76400'!S13</f>
        <v>0</v>
      </c>
      <c r="X50" s="119">
        <f t="shared" si="1"/>
        <v>0</v>
      </c>
      <c r="Y50" s="79">
        <f>'GF76400'!S14</f>
        <v>0</v>
      </c>
      <c r="Z50" s="87">
        <f t="shared" si="2"/>
        <v>0</v>
      </c>
      <c r="AA50" s="95">
        <f t="shared" si="3"/>
        <v>0.00130738027055698</v>
      </c>
      <c r="AB50" s="95">
        <f t="shared" si="5"/>
        <v>0.0014305440997263268</v>
      </c>
    </row>
    <row r="51" spans="1:28" ht="12.75">
      <c r="A51" t="s">
        <v>944</v>
      </c>
      <c r="B51" s="11"/>
      <c r="C51" s="5"/>
      <c r="D51" s="5"/>
      <c r="E51" s="5"/>
      <c r="F51" s="2">
        <v>48009</v>
      </c>
      <c r="G51" s="2">
        <v>73242</v>
      </c>
      <c r="H51" s="5"/>
      <c r="I51" s="2">
        <v>24046</v>
      </c>
      <c r="J51" s="2">
        <v>31106</v>
      </c>
      <c r="K51" s="2">
        <v>-14894</v>
      </c>
      <c r="L51" s="2"/>
      <c r="M51" s="5"/>
      <c r="N51" s="2">
        <v>-7075</v>
      </c>
      <c r="O51" s="5"/>
      <c r="R51" s="5"/>
      <c r="X51" s="119"/>
      <c r="Z51" s="87"/>
      <c r="AA51" s="75"/>
      <c r="AB51" s="75"/>
    </row>
    <row r="52" spans="1:28" ht="12.75">
      <c r="A52" s="6" t="s">
        <v>119</v>
      </c>
      <c r="B52" s="6"/>
      <c r="C52" s="8">
        <v>5451745</v>
      </c>
      <c r="D52" s="8">
        <v>6119930</v>
      </c>
      <c r="E52" s="8">
        <v>6196873</v>
      </c>
      <c r="F52" s="8">
        <v>7178338</v>
      </c>
      <c r="G52" s="8">
        <v>7201839</v>
      </c>
      <c r="H52" s="8">
        <v>7202005</v>
      </c>
      <c r="I52" s="8">
        <v>7801238</v>
      </c>
      <c r="J52" s="8">
        <v>8946008</v>
      </c>
      <c r="K52" s="8">
        <v>10049086.96</v>
      </c>
      <c r="L52" s="8">
        <v>9872166</v>
      </c>
      <c r="M52" s="8">
        <v>9529940</v>
      </c>
      <c r="N52" s="8">
        <v>9281070</v>
      </c>
      <c r="O52" s="8">
        <f aca="true" t="shared" si="6" ref="O52:W52">SUM(O4:O51)</f>
        <v>6193187</v>
      </c>
      <c r="P52" s="8">
        <f t="shared" si="6"/>
        <v>8874611.448</v>
      </c>
      <c r="Q52" s="8">
        <f t="shared" si="6"/>
        <v>8810269.632545002</v>
      </c>
      <c r="R52" s="8">
        <f t="shared" si="6"/>
        <v>9752327.067447752</v>
      </c>
      <c r="S52" s="8">
        <f t="shared" si="6"/>
        <v>9090432.399847751</v>
      </c>
      <c r="T52" s="8">
        <f>SUM(T4:T51)</f>
        <v>8912692.731695</v>
      </c>
      <c r="U52" s="8">
        <f t="shared" si="6"/>
        <v>661894.6675999998</v>
      </c>
      <c r="V52" s="8">
        <f t="shared" si="6"/>
        <v>-98198.269</v>
      </c>
      <c r="W52" s="8">
        <f t="shared" si="6"/>
        <v>-280162.7673027499</v>
      </c>
      <c r="X52" s="120">
        <f>(S52-Q52)/Q52</f>
        <v>0.03179956788925423</v>
      </c>
      <c r="Y52" s="8">
        <f>SUM(Y4:Y51)</f>
        <v>177739.66815274997</v>
      </c>
      <c r="Z52" s="114">
        <f>(T52-Q52)/Q52</f>
        <v>0.011625421629736383</v>
      </c>
      <c r="AA52" s="84">
        <f>SUM(AA4:AA51)</f>
        <v>0.9328336294700351</v>
      </c>
      <c r="AB52" s="84">
        <f>SUM(AB4:AB51)</f>
        <v>0.9998653605553195</v>
      </c>
    </row>
    <row r="53" spans="11:19" ht="12.75">
      <c r="K53" s="18"/>
      <c r="L53" s="18">
        <f>L52-K52</f>
        <v>-176920.9600000009</v>
      </c>
      <c r="M53" s="18">
        <f>M52-L52</f>
        <v>-342226</v>
      </c>
      <c r="N53" s="18">
        <f>N52-M52</f>
        <v>-248870</v>
      </c>
      <c r="P53" s="18">
        <f>P52-N52</f>
        <v>-406458.5519999992</v>
      </c>
      <c r="Q53" s="18">
        <f>Q52-N52</f>
        <v>-470800.3674549982</v>
      </c>
      <c r="R53" s="18">
        <f>R52-Q52</f>
        <v>942057.43490275</v>
      </c>
      <c r="S53" s="18">
        <f>S52-Q52</f>
        <v>280162.7673027497</v>
      </c>
    </row>
    <row r="54" spans="12:19" ht="12.75">
      <c r="L54" s="193">
        <f>L53/K52</f>
        <v>-0.017605675093093322</v>
      </c>
      <c r="M54" s="193">
        <f>M53/L52</f>
        <v>-0.03466574609867784</v>
      </c>
      <c r="N54" s="193">
        <f>N53/M52</f>
        <v>-0.026114540070556583</v>
      </c>
      <c r="P54" s="193">
        <f>P53/O52</f>
        <v>-0.065629949814207</v>
      </c>
      <c r="Q54" s="193">
        <f>Q53/P52</f>
        <v>-0.05305025129422412</v>
      </c>
      <c r="R54" s="193">
        <f>R53/Q52</f>
        <v>0.10692719680482923</v>
      </c>
      <c r="S54" s="193">
        <f>S53/R52</f>
        <v>0.028727786236569495</v>
      </c>
    </row>
    <row r="55" spans="3:21" ht="12.75" customHeight="1">
      <c r="C55" s="2"/>
      <c r="D55" s="2"/>
      <c r="E55" s="2"/>
      <c r="F55" s="2"/>
      <c r="G55" s="45" t="s">
        <v>625</v>
      </c>
      <c r="H55" s="22"/>
      <c r="I55" s="31"/>
      <c r="M55" s="171"/>
      <c r="Q55" s="2"/>
      <c r="R55" s="2"/>
      <c r="S55" s="39" t="s">
        <v>52</v>
      </c>
      <c r="T55" s="2">
        <f>'GF Rev'!T179</f>
        <v>8906845</v>
      </c>
      <c r="U55" s="79">
        <f>'GF Rev'!S179</f>
        <v>8537690</v>
      </c>
    </row>
    <row r="56" spans="5:21" ht="12.75" customHeight="1">
      <c r="E56" s="2"/>
      <c r="F56" s="2"/>
      <c r="G56" s="2"/>
      <c r="H56" s="2"/>
      <c r="I56" s="45"/>
      <c r="J56" s="22"/>
      <c r="K56" s="31"/>
      <c r="N56" s="171" t="s">
        <v>934</v>
      </c>
      <c r="O56" s="169">
        <f>R52-S52</f>
        <v>661894.6676000003</v>
      </c>
      <c r="Q56" s="2"/>
      <c r="R56" s="2"/>
      <c r="S56" s="39" t="s">
        <v>72</v>
      </c>
      <c r="T56" s="2">
        <f>T52-T55</f>
        <v>5847.731695000082</v>
      </c>
      <c r="U56" s="79">
        <f>S52-U55</f>
        <v>552742.3998477515</v>
      </c>
    </row>
    <row r="57" spans="1:21" ht="14.25" customHeight="1">
      <c r="A57" s="6"/>
      <c r="I57" s="45" t="s">
        <v>583</v>
      </c>
      <c r="J57" s="22"/>
      <c r="K57" s="22"/>
      <c r="L57" s="22"/>
      <c r="M57" s="22"/>
      <c r="N57" s="171" t="s">
        <v>935</v>
      </c>
      <c r="O57" s="169">
        <f>S52-T52</f>
        <v>177739.6681527514</v>
      </c>
      <c r="Q57" s="2"/>
      <c r="R57" s="2"/>
      <c r="S57" s="149" t="s">
        <v>987</v>
      </c>
      <c r="T57" s="2"/>
      <c r="U57" s="18">
        <v>100000</v>
      </c>
    </row>
    <row r="58" spans="14:21" ht="15.75">
      <c r="N58" s="171" t="s">
        <v>936</v>
      </c>
      <c r="O58" s="169">
        <f>SUM(O56:O57)</f>
        <v>839634.3357527517</v>
      </c>
      <c r="Q58" s="2"/>
      <c r="S58" s="122" t="s">
        <v>988</v>
      </c>
      <c r="T58" s="79">
        <f>T56</f>
        <v>5847.731695000082</v>
      </c>
      <c r="U58" s="201">
        <f>U56-U57</f>
        <v>452742.3998477515</v>
      </c>
    </row>
    <row r="59" ht="12.75">
      <c r="N59" s="194"/>
    </row>
    <row r="60" ht="12.75">
      <c r="N60" s="196"/>
    </row>
    <row r="61" spans="14:19" ht="12.75">
      <c r="N61" s="121"/>
      <c r="S61" s="2"/>
    </row>
    <row r="62" ht="12.75">
      <c r="N62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74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V80"/>
  <sheetViews>
    <sheetView zoomScale="75" zoomScaleNormal="75" workbookViewId="0" topLeftCell="A1">
      <selection activeCell="X11" sqref="X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13671875" style="0" hidden="1" customWidth="1"/>
    <col min="4" max="11" width="11.7109375" style="0" hidden="1" customWidth="1"/>
    <col min="12" max="14" width="11.7109375" style="0" customWidth="1"/>
    <col min="15" max="15" width="10.8515625" style="0" customWidth="1"/>
    <col min="16" max="16" width="7.7109375" style="0" bestFit="1" customWidth="1"/>
    <col min="17" max="17" width="10.00390625" style="0" customWidth="1"/>
    <col min="18" max="18" width="10.421875" style="0" customWidth="1"/>
    <col min="19" max="19" width="9.7109375" style="0" customWidth="1"/>
    <col min="20" max="20" width="9.8515625" style="0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466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6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16064</v>
      </c>
      <c r="N7" s="2">
        <v>16137</v>
      </c>
      <c r="O7" s="2">
        <v>10758</v>
      </c>
      <c r="P7" s="2">
        <f>+O7/$O$3*12</f>
        <v>16137</v>
      </c>
      <c r="Q7" s="2">
        <v>16275</v>
      </c>
      <c r="R7" s="2">
        <v>16889</v>
      </c>
      <c r="S7" s="2">
        <v>16889</v>
      </c>
      <c r="T7" s="2">
        <v>16889</v>
      </c>
      <c r="U7" s="89">
        <f>(T7-Q7)/Q7</f>
        <v>0.03772657450076805</v>
      </c>
      <c r="V7" t="s">
        <v>372</v>
      </c>
    </row>
    <row r="8" spans="1:22" ht="12.75">
      <c r="A8" t="s">
        <v>490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2079</v>
      </c>
      <c r="N8" s="2">
        <v>2281</v>
      </c>
      <c r="O8" s="2">
        <v>1594</v>
      </c>
      <c r="P8" s="2">
        <f>+O8/$O$3*12</f>
        <v>2391</v>
      </c>
      <c r="Q8" s="31">
        <v>2480</v>
      </c>
      <c r="R8" s="31">
        <v>2676</v>
      </c>
      <c r="S8" s="31">
        <f>5351*0.5</f>
        <v>2675.5</v>
      </c>
      <c r="T8" s="31">
        <f>5351*0.5</f>
        <v>2675.5</v>
      </c>
      <c r="U8" s="89">
        <f>(T8-Q8)/Q8</f>
        <v>0.07883064516129032</v>
      </c>
      <c r="V8" t="s">
        <v>510</v>
      </c>
    </row>
    <row r="9" spans="1:21" ht="12.75">
      <c r="A9" t="s">
        <v>141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1229</v>
      </c>
      <c r="N9" s="2">
        <v>1234</v>
      </c>
      <c r="O9" s="2">
        <v>823</v>
      </c>
      <c r="P9" s="2">
        <f>+O9/$O$3*12</f>
        <v>1234.5</v>
      </c>
      <c r="Q9" s="2">
        <f>Q7*0.0765</f>
        <v>1245.0375</v>
      </c>
      <c r="R9" s="2">
        <v>1260</v>
      </c>
      <c r="S9" s="2">
        <f>S7*0.0765</f>
        <v>1292.0085</v>
      </c>
      <c r="T9" s="2">
        <f>T7*0.0765</f>
        <v>1292.0085</v>
      </c>
      <c r="U9" s="89">
        <f>(T9-Q9)/Q9</f>
        <v>0.03772657450076806</v>
      </c>
    </row>
    <row r="10" spans="1:21" ht="12.75">
      <c r="A10" t="s">
        <v>234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>
        <v>29</v>
      </c>
      <c r="O10" s="2"/>
      <c r="P10" s="2"/>
      <c r="Q10" s="2"/>
      <c r="R10" s="2"/>
      <c r="S10" s="2"/>
      <c r="T10" s="2"/>
      <c r="U10" s="89"/>
    </row>
    <row r="11" spans="1:21" ht="12.75">
      <c r="A11" t="s">
        <v>1018</v>
      </c>
      <c r="B11" s="4">
        <v>51.27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500</v>
      </c>
      <c r="P11" s="2">
        <v>500</v>
      </c>
      <c r="Q11" s="2">
        <v>500</v>
      </c>
      <c r="R11" s="2">
        <v>500</v>
      </c>
      <c r="S11" s="2">
        <v>500</v>
      </c>
      <c r="T11" s="2">
        <v>500</v>
      </c>
      <c r="U11" s="89"/>
    </row>
    <row r="12" spans="1:21" ht="12.75">
      <c r="A12" t="s">
        <v>807</v>
      </c>
      <c r="B12" s="4"/>
      <c r="C12" s="2"/>
      <c r="D12" s="2"/>
      <c r="E12" s="2"/>
      <c r="F12" s="2"/>
      <c r="G12" s="2"/>
      <c r="H12" s="2"/>
      <c r="I12" s="2"/>
      <c r="J12" s="2"/>
      <c r="K12" s="2">
        <v>53</v>
      </c>
      <c r="L12" s="2">
        <v>180</v>
      </c>
      <c r="M12" s="2"/>
      <c r="N12" s="2"/>
      <c r="O12" s="2"/>
      <c r="P12" s="2"/>
      <c r="Q12" s="2"/>
      <c r="R12" s="2"/>
      <c r="S12" s="2"/>
      <c r="T12" s="2"/>
      <c r="U12" s="89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9"/>
    </row>
    <row r="14" spans="1:21" ht="12.75">
      <c r="A14" t="s">
        <v>51</v>
      </c>
      <c r="B14" s="4">
        <v>52.302</v>
      </c>
      <c r="C14" s="2"/>
      <c r="D14" s="2"/>
      <c r="E14" s="2"/>
      <c r="F14" s="2"/>
      <c r="G14" s="2"/>
      <c r="H14" s="2"/>
      <c r="I14" s="2"/>
      <c r="J14" s="2"/>
      <c r="K14" s="2"/>
      <c r="L14" s="2">
        <v>168</v>
      </c>
      <c r="M14" s="2"/>
      <c r="N14" s="2">
        <v>330</v>
      </c>
      <c r="O14" s="2"/>
      <c r="P14" s="2">
        <v>3000</v>
      </c>
      <c r="Q14" s="2">
        <v>2970</v>
      </c>
      <c r="R14" s="2">
        <v>2970</v>
      </c>
      <c r="S14" s="2">
        <v>2970</v>
      </c>
      <c r="T14" s="2">
        <v>2970</v>
      </c>
      <c r="U14" s="89"/>
    </row>
    <row r="15" spans="1:21" ht="12.75">
      <c r="A15" t="s">
        <v>143</v>
      </c>
      <c r="B15" s="4">
        <v>52.32</v>
      </c>
      <c r="C15" s="2">
        <v>120</v>
      </c>
      <c r="D15" s="2">
        <v>120</v>
      </c>
      <c r="E15" s="2">
        <v>130</v>
      </c>
      <c r="F15" s="2">
        <v>1624</v>
      </c>
      <c r="G15" s="2">
        <v>2375</v>
      </c>
      <c r="H15" s="2">
        <v>1574</v>
      </c>
      <c r="I15" s="2">
        <v>1226</v>
      </c>
      <c r="J15" s="2">
        <v>2429</v>
      </c>
      <c r="K15" s="2">
        <v>2589</v>
      </c>
      <c r="L15" s="2">
        <v>2690</v>
      </c>
      <c r="M15" s="2">
        <v>2142</v>
      </c>
      <c r="N15" s="2">
        <v>1547</v>
      </c>
      <c r="O15" s="2">
        <v>872</v>
      </c>
      <c r="P15" s="2">
        <f>+O15/$O$3*12</f>
        <v>1308</v>
      </c>
      <c r="Q15" s="2">
        <v>1500</v>
      </c>
      <c r="R15" s="2">
        <v>1500</v>
      </c>
      <c r="S15" s="2">
        <v>1500</v>
      </c>
      <c r="T15" s="2">
        <v>1500</v>
      </c>
      <c r="U15" s="89">
        <f>(T15-Q15)/Q15</f>
        <v>0</v>
      </c>
    </row>
    <row r="16" spans="1:21" ht="12.75">
      <c r="A16" t="s">
        <v>144</v>
      </c>
      <c r="B16" s="4">
        <v>52.321</v>
      </c>
      <c r="C16" s="2">
        <v>33</v>
      </c>
      <c r="D16" s="2"/>
      <c r="E16" s="2">
        <v>136</v>
      </c>
      <c r="F16" s="2">
        <v>68</v>
      </c>
      <c r="G16" s="2"/>
      <c r="H16" s="2">
        <v>185</v>
      </c>
      <c r="I16" s="2">
        <v>52</v>
      </c>
      <c r="J16" s="2">
        <v>76</v>
      </c>
      <c r="K16" s="2"/>
      <c r="L16" s="2"/>
      <c r="M16" s="2">
        <v>18</v>
      </c>
      <c r="N16" s="2">
        <v>26</v>
      </c>
      <c r="O16" s="2"/>
      <c r="P16" s="2">
        <f>+O16/$O$3*12</f>
        <v>0</v>
      </c>
      <c r="Q16" s="2">
        <v>100</v>
      </c>
      <c r="R16" s="2">
        <v>100</v>
      </c>
      <c r="S16" s="2">
        <v>100</v>
      </c>
      <c r="T16" s="2">
        <v>100</v>
      </c>
      <c r="U16" s="89">
        <f>(T16-Q16)/Q16</f>
        <v>0</v>
      </c>
    </row>
    <row r="17" spans="1:21" ht="12.75">
      <c r="A17" t="s">
        <v>156</v>
      </c>
      <c r="B17" s="4">
        <v>52.35</v>
      </c>
      <c r="C17" s="2">
        <v>1077</v>
      </c>
      <c r="D17" s="2">
        <v>1221</v>
      </c>
      <c r="E17" s="2">
        <v>534</v>
      </c>
      <c r="F17" s="2">
        <v>310</v>
      </c>
      <c r="G17" s="2">
        <v>383</v>
      </c>
      <c r="H17" s="2">
        <v>584</v>
      </c>
      <c r="I17" s="2">
        <v>120</v>
      </c>
      <c r="J17" s="2">
        <v>474</v>
      </c>
      <c r="K17" s="2">
        <v>528</v>
      </c>
      <c r="L17" s="2">
        <v>-47.91</v>
      </c>
      <c r="M17" s="2">
        <v>170</v>
      </c>
      <c r="N17" s="2">
        <v>40</v>
      </c>
      <c r="O17" s="2">
        <v>533</v>
      </c>
      <c r="P17" s="2">
        <v>1500</v>
      </c>
      <c r="Q17" s="2">
        <v>1500</v>
      </c>
      <c r="R17" s="2">
        <v>1500</v>
      </c>
      <c r="S17" s="2">
        <v>1500</v>
      </c>
      <c r="T17" s="2">
        <v>1500</v>
      </c>
      <c r="U17" s="89">
        <f>(T17-Q17)/Q17</f>
        <v>0</v>
      </c>
    </row>
    <row r="18" spans="1:21" ht="12.75">
      <c r="A18" t="s">
        <v>146</v>
      </c>
      <c r="B18" s="4">
        <v>52.3602</v>
      </c>
      <c r="C18" s="2"/>
      <c r="D18" s="2">
        <v>40</v>
      </c>
      <c r="E18" s="2">
        <v>40</v>
      </c>
      <c r="F18" s="2">
        <v>25</v>
      </c>
      <c r="G18" s="2"/>
      <c r="H18" s="2">
        <v>25</v>
      </c>
      <c r="I18" s="2"/>
      <c r="J18" s="2"/>
      <c r="K18" s="2"/>
      <c r="L18" s="2"/>
      <c r="M18" s="2"/>
      <c r="N18" s="2"/>
      <c r="O18" s="2">
        <v>25</v>
      </c>
      <c r="P18" s="2">
        <v>100</v>
      </c>
      <c r="Q18" s="2">
        <v>100</v>
      </c>
      <c r="R18" s="2">
        <v>100</v>
      </c>
      <c r="S18" s="2">
        <v>100</v>
      </c>
      <c r="T18" s="2">
        <v>100</v>
      </c>
      <c r="U18" s="89">
        <f>(T18-Q18)/Q18</f>
        <v>0</v>
      </c>
    </row>
    <row r="19" spans="1:21" ht="12.75">
      <c r="A19" t="s">
        <v>157</v>
      </c>
      <c r="B19" s="4">
        <v>52.37</v>
      </c>
      <c r="C19" s="2"/>
      <c r="D19" s="2"/>
      <c r="E19" s="2">
        <v>125</v>
      </c>
      <c r="F19" s="2">
        <v>405</v>
      </c>
      <c r="G19" s="2"/>
      <c r="H19" s="2">
        <v>225</v>
      </c>
      <c r="I19" s="2"/>
      <c r="J19" s="2"/>
      <c r="K19" s="2">
        <v>345</v>
      </c>
      <c r="L19" s="2"/>
      <c r="M19" s="2"/>
      <c r="N19" s="2"/>
      <c r="O19" s="2"/>
      <c r="P19" s="2">
        <v>500</v>
      </c>
      <c r="Q19" s="2">
        <v>500</v>
      </c>
      <c r="R19" s="2">
        <v>500</v>
      </c>
      <c r="S19" s="2">
        <v>500</v>
      </c>
      <c r="T19" s="2">
        <v>500</v>
      </c>
      <c r="U19" s="89"/>
    </row>
    <row r="20" spans="1:21" ht="12.75">
      <c r="A20" t="s">
        <v>151</v>
      </c>
      <c r="B20" s="4">
        <v>53.171</v>
      </c>
      <c r="C20" s="2">
        <v>278</v>
      </c>
      <c r="D20" s="2">
        <v>1054</v>
      </c>
      <c r="E20" s="2">
        <v>221</v>
      </c>
      <c r="F20" s="2">
        <v>749</v>
      </c>
      <c r="G20" s="2">
        <v>244</v>
      </c>
      <c r="H20" s="2">
        <v>379</v>
      </c>
      <c r="I20" s="2">
        <v>100</v>
      </c>
      <c r="J20" s="2">
        <v>372</v>
      </c>
      <c r="K20" s="2">
        <v>49</v>
      </c>
      <c r="L20" s="2">
        <v>219</v>
      </c>
      <c r="M20" s="2">
        <v>376</v>
      </c>
      <c r="N20" s="2">
        <v>47</v>
      </c>
      <c r="O20" s="2">
        <v>50</v>
      </c>
      <c r="P20" s="2">
        <v>200</v>
      </c>
      <c r="Q20" s="2">
        <v>400</v>
      </c>
      <c r="R20" s="2">
        <v>400</v>
      </c>
      <c r="S20" s="2">
        <v>400</v>
      </c>
      <c r="T20" s="2">
        <v>400</v>
      </c>
      <c r="U20" s="89">
        <f>(T20-Q20)/Q20</f>
        <v>0</v>
      </c>
    </row>
    <row r="21" spans="1:21" ht="12.75">
      <c r="A21" t="s">
        <v>642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>+O21/$O$3*12</f>
        <v>0</v>
      </c>
      <c r="Q21" s="2"/>
      <c r="R21" s="2"/>
      <c r="S21" s="2"/>
      <c r="T21" s="2"/>
      <c r="U21" s="89"/>
    </row>
    <row r="22" spans="2:21" ht="12.75">
      <c r="B22" s="4"/>
      <c r="C22" s="2"/>
      <c r="D22" s="2"/>
      <c r="E22" s="2"/>
      <c r="F22" s="2"/>
      <c r="G22" s="2"/>
      <c r="H22" s="2">
        <v>45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1"/>
    </row>
    <row r="23" spans="1:21" ht="12.75" hidden="1">
      <c r="A23" t="s">
        <v>373</v>
      </c>
      <c r="B23" s="4">
        <v>54.25</v>
      </c>
      <c r="C23" s="2"/>
      <c r="D23" s="2"/>
      <c r="E23" s="2"/>
      <c r="F23" s="2">
        <v>495</v>
      </c>
      <c r="G23" s="2"/>
      <c r="H23" s="2"/>
      <c r="I23" s="2"/>
      <c r="J23" s="2"/>
      <c r="K23" s="2"/>
      <c r="L23" s="2"/>
      <c r="M23" s="2"/>
      <c r="N23" s="2"/>
      <c r="O23" s="2"/>
      <c r="P23" s="2">
        <f>+O23/$O$3*12</f>
        <v>0</v>
      </c>
      <c r="Q23" s="2"/>
      <c r="R23" s="2"/>
      <c r="S23" s="2"/>
      <c r="T23" s="2"/>
      <c r="U23" s="51"/>
    </row>
    <row r="24" spans="1:21" ht="12.75" hidden="1">
      <c r="A24" t="s">
        <v>622</v>
      </c>
      <c r="B24" s="4">
        <v>54.252</v>
      </c>
      <c r="C24" s="2"/>
      <c r="D24" s="2"/>
      <c r="E24" s="2"/>
      <c r="F24" s="2"/>
      <c r="G24" s="2"/>
      <c r="H24" s="2"/>
      <c r="I24" s="2">
        <v>62901</v>
      </c>
      <c r="J24" s="2"/>
      <c r="K24" s="2"/>
      <c r="L24" s="2"/>
      <c r="M24" s="2"/>
      <c r="N24" s="2"/>
      <c r="O24" s="2"/>
      <c r="P24" s="2">
        <f>+O24/$O$3*12</f>
        <v>0</v>
      </c>
      <c r="Q24" s="2"/>
      <c r="R24" s="2"/>
      <c r="S24" s="2"/>
      <c r="T24" s="2"/>
      <c r="U24" s="51"/>
    </row>
    <row r="25" spans="1:21" ht="12.75" hidden="1">
      <c r="A25" t="s">
        <v>713</v>
      </c>
      <c r="B25" s="4">
        <v>54.2525</v>
      </c>
      <c r="C25" s="2"/>
      <c r="D25" s="2"/>
      <c r="E25" s="2"/>
      <c r="F25" s="2"/>
      <c r="G25" s="2"/>
      <c r="H25" s="2"/>
      <c r="I25" s="2"/>
      <c r="J25" s="2">
        <v>6000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51"/>
    </row>
    <row r="26" spans="1:21" ht="12.75" hidden="1">
      <c r="A26" t="s">
        <v>573</v>
      </c>
      <c r="B26" s="4">
        <v>54.2615</v>
      </c>
      <c r="C26" s="2"/>
      <c r="D26" s="2"/>
      <c r="E26" s="2"/>
      <c r="F26" s="2"/>
      <c r="G26" s="2"/>
      <c r="H26" s="2">
        <v>16498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1"/>
    </row>
    <row r="27" spans="1:21" ht="12.75">
      <c r="A27" s="6" t="s">
        <v>119</v>
      </c>
      <c r="B27" s="6"/>
      <c r="C27" s="7">
        <f aca="true" t="shared" si="0" ref="C27:I27">SUM(C7:C26)</f>
        <v>25657</v>
      </c>
      <c r="D27" s="8">
        <f t="shared" si="0"/>
        <v>16085</v>
      </c>
      <c r="E27" s="8">
        <f t="shared" si="0"/>
        <v>13612</v>
      </c>
      <c r="F27" s="8">
        <f t="shared" si="0"/>
        <v>16334</v>
      </c>
      <c r="G27" s="8">
        <f t="shared" si="0"/>
        <v>16251</v>
      </c>
      <c r="H27" s="8">
        <f t="shared" si="0"/>
        <v>33752</v>
      </c>
      <c r="I27" s="8">
        <f t="shared" si="0"/>
        <v>78492</v>
      </c>
      <c r="J27" s="8">
        <v>25689</v>
      </c>
      <c r="K27" s="8">
        <f aca="true" t="shared" si="1" ref="K27:T27">SUM(K7:K26)</f>
        <v>20498</v>
      </c>
      <c r="L27" s="8">
        <v>21898</v>
      </c>
      <c r="M27" s="8">
        <v>22078</v>
      </c>
      <c r="N27" s="8">
        <v>21671</v>
      </c>
      <c r="O27" s="8">
        <f t="shared" si="1"/>
        <v>15155</v>
      </c>
      <c r="P27" s="8">
        <f t="shared" si="1"/>
        <v>26870.5</v>
      </c>
      <c r="Q27" s="8">
        <f t="shared" si="1"/>
        <v>27570.0375</v>
      </c>
      <c r="R27" s="8">
        <f>SUM(R7:R26)</f>
        <v>28395</v>
      </c>
      <c r="S27" s="8">
        <f t="shared" si="1"/>
        <v>28426.5085</v>
      </c>
      <c r="T27" s="8">
        <f t="shared" si="1"/>
        <v>28426.5085</v>
      </c>
      <c r="U27" s="52">
        <f>(T27-Q27)/Q27</f>
        <v>0.031065282374026566</v>
      </c>
    </row>
    <row r="28" ht="12.75">
      <c r="U28" s="51"/>
    </row>
    <row r="29" spans="17:21" ht="12.75">
      <c r="Q29" s="22" t="s">
        <v>484</v>
      </c>
      <c r="R29" s="22"/>
      <c r="S29" s="55">
        <f>R27-S27</f>
        <v>-31.508499999999913</v>
      </c>
      <c r="U29" s="51"/>
    </row>
    <row r="30" spans="17:21" ht="12.75">
      <c r="Q30" s="22" t="s">
        <v>725</v>
      </c>
      <c r="R30" s="22"/>
      <c r="S30" s="55">
        <f>Q27-S27</f>
        <v>-856.4710000000014</v>
      </c>
      <c r="U30" s="51"/>
    </row>
    <row r="31" spans="17:21" ht="12.75">
      <c r="Q31" s="22" t="s">
        <v>432</v>
      </c>
      <c r="R31" s="22"/>
      <c r="S31" s="55">
        <f>S27-T27</f>
        <v>0</v>
      </c>
      <c r="U31" s="51"/>
    </row>
    <row r="32" ht="12.75">
      <c r="U32" s="51"/>
    </row>
    <row r="33" spans="1:21" ht="12.75">
      <c r="A33" s="40" t="s">
        <v>127</v>
      </c>
      <c r="B33" s="41">
        <v>33.4215</v>
      </c>
      <c r="C33" s="42">
        <v>1768</v>
      </c>
      <c r="D33" s="42">
        <v>3102</v>
      </c>
      <c r="E33" s="42">
        <v>3100</v>
      </c>
      <c r="F33" s="42"/>
      <c r="G33" s="42"/>
      <c r="H33" s="42"/>
      <c r="I33" s="42">
        <v>6824</v>
      </c>
      <c r="J33" s="42"/>
      <c r="K33" s="42">
        <v>4963</v>
      </c>
      <c r="L33" s="42">
        <v>4963</v>
      </c>
      <c r="M33" s="42">
        <v>6899</v>
      </c>
      <c r="N33" s="42">
        <v>16798</v>
      </c>
      <c r="U33" s="51"/>
    </row>
    <row r="34" spans="1:21" ht="12.75">
      <c r="A34" t="s">
        <v>797</v>
      </c>
      <c r="B34">
        <v>38.9045</v>
      </c>
      <c r="K34">
        <v>3300</v>
      </c>
      <c r="L34">
        <v>3000</v>
      </c>
      <c r="U34" s="51"/>
    </row>
    <row r="35" spans="1:21" ht="12.75">
      <c r="A35" t="s">
        <v>975</v>
      </c>
      <c r="K35" s="75">
        <f>(K34+K33)/K27</f>
        <v>0.4031124987803688</v>
      </c>
      <c r="L35" s="75">
        <f>(L34+L33)/L27</f>
        <v>0.3636405151155357</v>
      </c>
      <c r="M35" s="75">
        <f>(M34+M33)/M27</f>
        <v>0.31248301476583024</v>
      </c>
      <c r="N35" s="75">
        <f>(N34+N33)/N27</f>
        <v>0.7751372802362605</v>
      </c>
      <c r="O35" s="75">
        <f>(O34+O33)/O27</f>
        <v>0</v>
      </c>
      <c r="U35" s="51"/>
    </row>
    <row r="36" ht="12.75">
      <c r="U36" s="51"/>
    </row>
    <row r="37" spans="1:21" s="2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P37" s="42"/>
      <c r="Q37" s="42"/>
      <c r="S37" s="42"/>
      <c r="T37" s="98"/>
      <c r="U37" s="42"/>
    </row>
    <row r="38" spans="1:21" ht="12.75">
      <c r="A38" s="22" t="s">
        <v>1053</v>
      </c>
      <c r="U38" s="51"/>
    </row>
    <row r="39" spans="1:21" ht="12.75">
      <c r="A39" t="s">
        <v>1054</v>
      </c>
      <c r="U39" s="51"/>
    </row>
    <row r="40" spans="1:21" ht="12.75">
      <c r="A40" s="6"/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70" spans="3:2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1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Z77"/>
  <sheetViews>
    <sheetView zoomScale="75" zoomScaleNormal="75" workbookViewId="0" topLeftCell="A4">
      <pane ySplit="780" topLeftCell="BM1" activePane="bottomLeft" state="split"/>
      <selection pane="topLeft" activeCell="N4" sqref="N1:N16384"/>
      <selection pane="bottomLeft" activeCell="A57" sqref="A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11" width="11.7109375" style="0" hidden="1" customWidth="1"/>
    <col min="12" max="15" width="11.7109375" style="0" customWidth="1"/>
    <col min="16" max="16" width="9.421875" style="0" customWidth="1"/>
    <col min="17" max="17" width="11.7109375" style="0" customWidth="1"/>
    <col min="18" max="18" width="10.421875" style="0" bestFit="1" customWidth="1"/>
    <col min="19" max="20" width="11.7109375" style="0" customWidth="1"/>
    <col min="21" max="21" width="9.421875" style="0" bestFit="1" customWidth="1"/>
    <col min="22" max="22" width="11.7109375" style="0" customWidth="1"/>
    <col min="24" max="24" width="9.8515625" style="0" bestFit="1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469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6" ht="12.75">
      <c r="A7" t="s">
        <v>652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>
        <v>98152</v>
      </c>
      <c r="N7" s="2">
        <v>63335</v>
      </c>
      <c r="O7" s="2"/>
      <c r="P7" s="2">
        <v>150303</v>
      </c>
      <c r="Q7" s="20">
        <v>150303</v>
      </c>
      <c r="R7" s="20">
        <f>712457-550000</f>
        <v>162457</v>
      </c>
      <c r="S7" s="20">
        <f>712457-550000</f>
        <v>162457</v>
      </c>
      <c r="T7" s="20">
        <f>663933-550000</f>
        <v>113933</v>
      </c>
      <c r="U7" s="89">
        <f>(T7-Q7)/Q7</f>
        <v>-0.24197787136650634</v>
      </c>
      <c r="V7" s="33" t="s">
        <v>1090</v>
      </c>
      <c r="X7" s="173"/>
      <c r="Y7" s="159"/>
      <c r="Z7" s="173"/>
    </row>
    <row r="8" spans="1:25" ht="12.75">
      <c r="A8" t="s">
        <v>154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11798</v>
      </c>
      <c r="N8" s="2">
        <v>825</v>
      </c>
      <c r="O8" s="2"/>
      <c r="P8" s="2"/>
      <c r="Q8" s="2"/>
      <c r="R8" s="2"/>
      <c r="S8" s="2"/>
      <c r="T8" s="2"/>
      <c r="U8" s="89" t="e">
        <f>(T8-Q8)/Q8</f>
        <v>#DIV/0!</v>
      </c>
      <c r="V8" s="33" t="s">
        <v>511</v>
      </c>
      <c r="Y8" s="2"/>
    </row>
    <row r="9" spans="1:25" ht="12.75">
      <c r="A9" t="s">
        <v>490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87638</v>
      </c>
      <c r="N9" s="2">
        <v>85717</v>
      </c>
      <c r="O9" s="2">
        <v>77531</v>
      </c>
      <c r="P9" s="2">
        <f>+O9/$O$3*12</f>
        <v>93037.20000000001</v>
      </c>
      <c r="Q9" s="31">
        <v>119040</v>
      </c>
      <c r="R9" s="31">
        <v>128424</v>
      </c>
      <c r="S9" s="31">
        <f>5351*24</f>
        <v>128424</v>
      </c>
      <c r="T9" s="31">
        <f>5351*22</f>
        <v>117722</v>
      </c>
      <c r="U9" s="89">
        <f>(T9-Q9)/Q9</f>
        <v>-0.011071908602150538</v>
      </c>
      <c r="V9" s="33" t="s">
        <v>1091</v>
      </c>
      <c r="W9" s="6"/>
      <c r="Y9" s="2"/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579</v>
      </c>
    </row>
    <row r="11" spans="1:25" ht="12.75">
      <c r="A11" t="s">
        <v>141</v>
      </c>
      <c r="B11" s="4">
        <v>51.22</v>
      </c>
      <c r="C11" s="2">
        <v>26747</v>
      </c>
      <c r="D11" s="2">
        <v>26518</v>
      </c>
      <c r="E11" s="2">
        <v>26334</v>
      </c>
      <c r="F11" s="2">
        <v>26476</v>
      </c>
      <c r="G11" s="2">
        <v>26681</v>
      </c>
      <c r="H11" s="2">
        <v>31531</v>
      </c>
      <c r="I11" s="2">
        <v>30912</v>
      </c>
      <c r="J11" s="2">
        <v>38692</v>
      </c>
      <c r="K11" s="2">
        <v>42220</v>
      </c>
      <c r="L11" s="2">
        <v>47953.82</v>
      </c>
      <c r="M11" s="2">
        <v>7262</v>
      </c>
      <c r="N11" s="2">
        <v>4716</v>
      </c>
      <c r="O11" s="2"/>
      <c r="P11" s="2">
        <v>11500</v>
      </c>
      <c r="Q11" s="2">
        <v>11498</v>
      </c>
      <c r="R11" s="20">
        <f>(R7+R8)*0.0765</f>
        <v>12427.9605</v>
      </c>
      <c r="S11" s="20">
        <f>(S7+S8)*0.0765</f>
        <v>12427.9605</v>
      </c>
      <c r="T11" s="20">
        <f>(T7+T8)*0.0765</f>
        <v>8715.8745</v>
      </c>
      <c r="U11" s="89">
        <f>(T11-Q11)/Q11</f>
        <v>-0.2419660375717516</v>
      </c>
      <c r="V11" s="33" t="s">
        <v>575</v>
      </c>
      <c r="W11" s="6"/>
      <c r="X11" s="2"/>
      <c r="Y11" s="2"/>
    </row>
    <row r="12" spans="1:25" ht="12.75">
      <c r="A12" t="s">
        <v>155</v>
      </c>
      <c r="B12" s="4">
        <v>51.24</v>
      </c>
      <c r="C12" s="2">
        <v>6241</v>
      </c>
      <c r="D12" s="2">
        <v>6378</v>
      </c>
      <c r="E12" s="2">
        <v>6944</v>
      </c>
      <c r="F12" s="2">
        <v>5695</v>
      </c>
      <c r="G12" s="2">
        <v>5683</v>
      </c>
      <c r="H12" s="2">
        <v>6855</v>
      </c>
      <c r="I12" s="2">
        <v>7806</v>
      </c>
      <c r="J12" s="2">
        <v>8650</v>
      </c>
      <c r="K12" s="2">
        <v>9702</v>
      </c>
      <c r="L12" s="2">
        <v>10972</v>
      </c>
      <c r="M12" s="2">
        <v>3646</v>
      </c>
      <c r="N12" s="2">
        <v>11603</v>
      </c>
      <c r="O12" s="2">
        <v>10216</v>
      </c>
      <c r="P12" s="2">
        <v>15000</v>
      </c>
      <c r="Q12" s="2">
        <v>15000</v>
      </c>
      <c r="R12" s="2">
        <v>14000</v>
      </c>
      <c r="S12" s="2">
        <v>14000</v>
      </c>
      <c r="T12" s="2">
        <v>14000</v>
      </c>
      <c r="U12" s="89">
        <f>(T12-Q12)/Q12</f>
        <v>-0.06666666666666667</v>
      </c>
      <c r="W12" s="2"/>
      <c r="Y12" s="2"/>
    </row>
    <row r="13" spans="1:25" ht="12.75">
      <c r="A13" t="s">
        <v>705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3180</v>
      </c>
      <c r="N13" s="2"/>
      <c r="O13" s="2"/>
      <c r="P13" s="2"/>
      <c r="Q13" s="2"/>
      <c r="R13" s="2"/>
      <c r="S13" s="2"/>
      <c r="T13" s="2"/>
      <c r="U13" s="89"/>
      <c r="W13" s="2"/>
      <c r="Y13" s="2"/>
    </row>
    <row r="14" spans="2:21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1:22" ht="12.75">
      <c r="A15" t="s">
        <v>207</v>
      </c>
      <c r="B15" s="4">
        <v>52.121</v>
      </c>
      <c r="C15" s="2"/>
      <c r="D15" s="2"/>
      <c r="E15" s="2"/>
      <c r="F15" s="2"/>
      <c r="G15" s="2"/>
      <c r="H15" s="2"/>
      <c r="I15" s="2">
        <f>645+303</f>
        <v>948</v>
      </c>
      <c r="J15" s="2">
        <v>1364</v>
      </c>
      <c r="K15" s="2">
        <v>980</v>
      </c>
      <c r="L15" s="2">
        <v>215</v>
      </c>
      <c r="M15" s="2">
        <v>35</v>
      </c>
      <c r="N15" s="2"/>
      <c r="O15" s="11">
        <v>397</v>
      </c>
      <c r="P15" s="2">
        <v>500</v>
      </c>
      <c r="Q15" s="2">
        <v>500</v>
      </c>
      <c r="R15" s="2">
        <v>500</v>
      </c>
      <c r="S15" s="2">
        <v>500</v>
      </c>
      <c r="T15" s="2">
        <v>500</v>
      </c>
      <c r="U15" s="89"/>
      <c r="V15" s="2"/>
    </row>
    <row r="16" spans="1:21" ht="12.75">
      <c r="A16" s="33" t="s">
        <v>354</v>
      </c>
      <c r="B16" s="4">
        <v>52.1221</v>
      </c>
      <c r="C16" s="2"/>
      <c r="D16" s="2"/>
      <c r="E16" s="2"/>
      <c r="F16" s="2"/>
      <c r="G16" s="2">
        <v>1806</v>
      </c>
      <c r="H16" s="2"/>
      <c r="I16" s="2"/>
      <c r="J16" s="2">
        <v>850</v>
      </c>
      <c r="K16" s="2">
        <v>375</v>
      </c>
      <c r="L16" s="2">
        <v>789</v>
      </c>
      <c r="M16" s="2"/>
      <c r="N16" s="2"/>
      <c r="O16" s="11"/>
      <c r="P16" s="2">
        <v>1000</v>
      </c>
      <c r="Q16" s="2">
        <v>1000</v>
      </c>
      <c r="R16" s="2">
        <v>1000</v>
      </c>
      <c r="S16" s="2">
        <v>1000</v>
      </c>
      <c r="T16" s="2">
        <v>1000</v>
      </c>
      <c r="U16" s="89">
        <f>(T16-Q16)/Q16</f>
        <v>0</v>
      </c>
    </row>
    <row r="17" spans="1:21" ht="12.75">
      <c r="A17" t="s">
        <v>257</v>
      </c>
      <c r="B17" s="4">
        <v>52.215</v>
      </c>
      <c r="C17" s="2">
        <v>134875</v>
      </c>
      <c r="D17" s="2">
        <v>151086</v>
      </c>
      <c r="E17" s="2">
        <v>199256</v>
      </c>
      <c r="F17" s="2">
        <v>162000</v>
      </c>
      <c r="G17" s="2">
        <v>71855</v>
      </c>
      <c r="H17" s="2">
        <v>145267</v>
      </c>
      <c r="I17" s="2">
        <f>103139+6632</f>
        <v>109771</v>
      </c>
      <c r="J17" s="2">
        <v>133670</v>
      </c>
      <c r="K17" s="2">
        <v>120261</v>
      </c>
      <c r="L17" s="2">
        <v>38915</v>
      </c>
      <c r="M17" s="2"/>
      <c r="N17" s="2"/>
      <c r="O17" s="11"/>
      <c r="P17" s="2"/>
      <c r="Q17" s="2"/>
      <c r="R17" s="2"/>
      <c r="S17" s="2"/>
      <c r="T17" s="2"/>
      <c r="U17" s="89"/>
    </row>
    <row r="18" spans="1:21" ht="12.75">
      <c r="A18" t="s">
        <v>186</v>
      </c>
      <c r="B18" s="4">
        <v>52.2206</v>
      </c>
      <c r="C18" s="2">
        <v>7456</v>
      </c>
      <c r="D18" s="2">
        <v>11240</v>
      </c>
      <c r="E18" s="2">
        <v>3400</v>
      </c>
      <c r="F18" s="2">
        <v>5487</v>
      </c>
      <c r="G18" s="2">
        <v>10835</v>
      </c>
      <c r="H18" s="2">
        <v>2828</v>
      </c>
      <c r="I18" s="2">
        <v>3714</v>
      </c>
      <c r="J18" s="2">
        <v>3635</v>
      </c>
      <c r="K18" s="2">
        <v>3975</v>
      </c>
      <c r="L18" s="2">
        <v>4669</v>
      </c>
      <c r="M18" s="2">
        <v>1289</v>
      </c>
      <c r="N18" s="2">
        <v>2100</v>
      </c>
      <c r="O18" s="11">
        <v>4174</v>
      </c>
      <c r="P18" s="2">
        <v>5000</v>
      </c>
      <c r="Q18" s="2">
        <v>5000</v>
      </c>
      <c r="R18" s="2">
        <v>5000</v>
      </c>
      <c r="S18" s="2">
        <v>5000</v>
      </c>
      <c r="T18" s="2">
        <v>5000</v>
      </c>
      <c r="U18" s="89">
        <v>0</v>
      </c>
    </row>
    <row r="19" spans="1:21" ht="12.75">
      <c r="A19" t="s">
        <v>143</v>
      </c>
      <c r="B19" s="4">
        <v>52.32</v>
      </c>
      <c r="C19" s="2">
        <v>703</v>
      </c>
      <c r="D19" s="2">
        <v>772</v>
      </c>
      <c r="E19" s="2">
        <v>786</v>
      </c>
      <c r="F19" s="2">
        <v>1116</v>
      </c>
      <c r="G19" s="2">
        <v>1079</v>
      </c>
      <c r="H19" s="2">
        <v>1102</v>
      </c>
      <c r="I19" s="2">
        <v>1499</v>
      </c>
      <c r="J19" s="2">
        <v>1345</v>
      </c>
      <c r="K19" s="2">
        <v>1338</v>
      </c>
      <c r="L19" s="2">
        <v>1757</v>
      </c>
      <c r="M19" s="2">
        <v>1640</v>
      </c>
      <c r="N19" s="2">
        <v>944</v>
      </c>
      <c r="O19" s="11">
        <v>486</v>
      </c>
      <c r="P19" s="2">
        <f>+O19/$O$3*12</f>
        <v>583.2</v>
      </c>
      <c r="Q19" s="2">
        <v>1650</v>
      </c>
      <c r="R19" s="2">
        <v>1000</v>
      </c>
      <c r="S19" s="2">
        <v>1000</v>
      </c>
      <c r="T19" s="2">
        <v>1000</v>
      </c>
      <c r="U19" s="89">
        <f>(T19-Q19)/Q19</f>
        <v>-0.3939393939393939</v>
      </c>
    </row>
    <row r="20" spans="1:21" ht="12.75" hidden="1">
      <c r="A20" t="s">
        <v>144</v>
      </c>
      <c r="B20" s="4">
        <v>52.321</v>
      </c>
      <c r="C20" s="2"/>
      <c r="D20" s="2"/>
      <c r="E20" s="2">
        <v>100</v>
      </c>
      <c r="F20" s="2"/>
      <c r="G20" s="2">
        <v>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9"/>
    </row>
    <row r="21" spans="1:21" ht="12.75" hidden="1">
      <c r="A21" t="s">
        <v>156</v>
      </c>
      <c r="B21" s="4">
        <v>52.35</v>
      </c>
      <c r="C21" s="2">
        <v>321</v>
      </c>
      <c r="D21" s="2">
        <v>300</v>
      </c>
      <c r="E21" s="2">
        <v>297</v>
      </c>
      <c r="F21" s="2"/>
      <c r="G21" s="2">
        <v>107</v>
      </c>
      <c r="H21" s="2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89"/>
    </row>
    <row r="22" spans="1:21" ht="12.75">
      <c r="A22" t="s">
        <v>574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973</v>
      </c>
      <c r="P22" s="2">
        <v>1000</v>
      </c>
      <c r="Q22" s="2"/>
      <c r="R22" s="2"/>
      <c r="S22" s="2"/>
      <c r="T22" s="2"/>
      <c r="U22" s="89"/>
    </row>
    <row r="23" spans="1:21" ht="12.75">
      <c r="A23" t="s">
        <v>397</v>
      </c>
      <c r="B23" s="4"/>
      <c r="C23" s="2"/>
      <c r="D23" s="2"/>
      <c r="E23" s="2"/>
      <c r="F23" s="2"/>
      <c r="G23" s="2"/>
      <c r="H23" s="2"/>
      <c r="I23" s="2"/>
      <c r="J23" s="2"/>
      <c r="K23" s="2">
        <v>5</v>
      </c>
      <c r="L23" s="2"/>
      <c r="M23" s="2"/>
      <c r="N23" s="2"/>
      <c r="O23" s="2"/>
      <c r="P23" s="2"/>
      <c r="Q23" s="2"/>
      <c r="R23" s="2"/>
      <c r="S23" s="2"/>
      <c r="T23" s="2"/>
      <c r="U23" s="89"/>
    </row>
    <row r="24" spans="2:21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244</v>
      </c>
      <c r="P24" s="2"/>
      <c r="Q24" s="2"/>
      <c r="R24" s="2"/>
      <c r="S24" s="2"/>
      <c r="T24" s="2"/>
      <c r="U24" s="89"/>
    </row>
    <row r="25" spans="1:21" ht="12.75">
      <c r="A25" t="s">
        <v>150</v>
      </c>
      <c r="B25" s="4">
        <v>53.12</v>
      </c>
      <c r="C25" s="2">
        <v>3702</v>
      </c>
      <c r="D25" s="2">
        <v>3067</v>
      </c>
      <c r="E25" s="2">
        <v>3235</v>
      </c>
      <c r="F25" s="2">
        <v>4961</v>
      </c>
      <c r="G25" s="2">
        <v>5953</v>
      </c>
      <c r="H25" s="2">
        <v>6204</v>
      </c>
      <c r="I25" s="2">
        <v>6225</v>
      </c>
      <c r="J25" s="2">
        <v>5204</v>
      </c>
      <c r="K25" s="2">
        <v>6000</v>
      </c>
      <c r="L25" s="2">
        <v>6637</v>
      </c>
      <c r="M25" s="2">
        <v>6169</v>
      </c>
      <c r="N25" s="2">
        <v>6677</v>
      </c>
      <c r="O25" s="2">
        <v>5416</v>
      </c>
      <c r="P25" s="2">
        <f>+O25/$O$3*12</f>
        <v>6499.200000000001</v>
      </c>
      <c r="Q25" s="2">
        <v>5200</v>
      </c>
      <c r="R25" s="2">
        <v>6100</v>
      </c>
      <c r="S25" s="2">
        <v>6200</v>
      </c>
      <c r="T25" s="2">
        <v>6200</v>
      </c>
      <c r="U25" s="89">
        <f>(T25-Q25)/Q25</f>
        <v>0.19230769230769232</v>
      </c>
    </row>
    <row r="26" spans="1:21" ht="12.75" hidden="1">
      <c r="A26" t="s">
        <v>254</v>
      </c>
      <c r="B26" s="4">
        <v>53.17</v>
      </c>
      <c r="C26" s="2"/>
      <c r="D26" s="2"/>
      <c r="E26" s="2"/>
      <c r="F26" s="2">
        <v>1179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9"/>
    </row>
    <row r="27" spans="1:21" ht="0.75" customHeight="1" hidden="1">
      <c r="A27" t="s">
        <v>201</v>
      </c>
      <c r="B27" s="4">
        <v>53.1702</v>
      </c>
      <c r="C27" s="2">
        <v>135</v>
      </c>
      <c r="D27" s="2">
        <v>51</v>
      </c>
      <c r="E27" s="2">
        <v>8</v>
      </c>
      <c r="F27" s="2">
        <v>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9"/>
    </row>
    <row r="28" spans="1:22" ht="12.75">
      <c r="A28" t="s">
        <v>175</v>
      </c>
      <c r="B28" s="4">
        <v>53.1703</v>
      </c>
      <c r="C28" s="2">
        <v>2921</v>
      </c>
      <c r="D28" s="2">
        <v>3763</v>
      </c>
      <c r="E28" s="2">
        <v>2949</v>
      </c>
      <c r="F28" s="2">
        <v>3092</v>
      </c>
      <c r="G28" s="2">
        <v>4363</v>
      </c>
      <c r="H28" s="2">
        <v>5170</v>
      </c>
      <c r="I28" s="2">
        <v>1573</v>
      </c>
      <c r="J28" s="2">
        <v>1527</v>
      </c>
      <c r="K28" s="2">
        <v>636</v>
      </c>
      <c r="L28" s="2">
        <v>2900</v>
      </c>
      <c r="M28" s="2">
        <v>217</v>
      </c>
      <c r="N28" s="2"/>
      <c r="O28" s="2">
        <v>800</v>
      </c>
      <c r="P28" s="2">
        <f>+O28/$O$3*12</f>
        <v>960</v>
      </c>
      <c r="Q28" s="2">
        <v>1000</v>
      </c>
      <c r="R28" s="2">
        <v>1000</v>
      </c>
      <c r="S28" s="2">
        <v>1000</v>
      </c>
      <c r="T28" s="2">
        <v>1000</v>
      </c>
      <c r="U28" s="89">
        <f>(T28-Q28)/Q28</f>
        <v>0</v>
      </c>
      <c r="V28" s="10"/>
    </row>
    <row r="29" spans="1:21" ht="12.75">
      <c r="A29" t="s">
        <v>151</v>
      </c>
      <c r="B29" s="4">
        <v>53.171</v>
      </c>
      <c r="C29" s="2">
        <v>520</v>
      </c>
      <c r="D29" s="2">
        <v>669</v>
      </c>
      <c r="E29" s="2">
        <v>924</v>
      </c>
      <c r="F29" s="2">
        <v>513</v>
      </c>
      <c r="G29" s="2">
        <v>703</v>
      </c>
      <c r="H29" s="2">
        <v>88</v>
      </c>
      <c r="I29" s="2">
        <f>100+394</f>
        <v>494</v>
      </c>
      <c r="J29" s="2">
        <v>552</v>
      </c>
      <c r="K29" s="2">
        <v>67</v>
      </c>
      <c r="L29" s="2">
        <v>591</v>
      </c>
      <c r="M29" s="2">
        <v>32</v>
      </c>
      <c r="N29" s="2">
        <v>73</v>
      </c>
      <c r="O29" s="2">
        <v>31</v>
      </c>
      <c r="P29" s="2">
        <f>+O29/$O$3*12</f>
        <v>37.2</v>
      </c>
      <c r="Q29" s="2">
        <v>200</v>
      </c>
      <c r="R29" s="2">
        <v>100</v>
      </c>
      <c r="S29" s="2">
        <v>100</v>
      </c>
      <c r="T29" s="2">
        <v>100</v>
      </c>
      <c r="U29" s="89">
        <f>(T29-Q29)/Q29</f>
        <v>-0.5</v>
      </c>
    </row>
    <row r="30" spans="1:21" ht="12.75" hidden="1">
      <c r="A30" t="s">
        <v>258</v>
      </c>
      <c r="B30" s="4">
        <v>53.172</v>
      </c>
      <c r="C30" s="2">
        <v>293</v>
      </c>
      <c r="D30" s="2">
        <v>236</v>
      </c>
      <c r="E30" s="2">
        <v>63</v>
      </c>
      <c r="F30" s="2"/>
      <c r="G30" s="2"/>
      <c r="H30" s="2">
        <v>86</v>
      </c>
      <c r="I30" s="2">
        <f>2+209</f>
        <v>211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9"/>
    </row>
    <row r="31" spans="1:21" ht="12.75">
      <c r="A31" t="s">
        <v>239</v>
      </c>
      <c r="B31" s="4">
        <v>53.174</v>
      </c>
      <c r="C31" s="2">
        <v>5090</v>
      </c>
      <c r="D31" s="2">
        <v>5008</v>
      </c>
      <c r="E31" s="2">
        <v>4466</v>
      </c>
      <c r="F31" s="2">
        <v>4226</v>
      </c>
      <c r="G31" s="2">
        <v>3890</v>
      </c>
      <c r="H31" s="2">
        <v>4618</v>
      </c>
      <c r="I31" s="2">
        <f>4729+91</f>
        <v>4820</v>
      </c>
      <c r="J31" s="2">
        <v>6773</v>
      </c>
      <c r="K31" s="2">
        <f>7384+70</f>
        <v>7454</v>
      </c>
      <c r="L31" s="2">
        <v>7784</v>
      </c>
      <c r="M31" s="2">
        <v>7222</v>
      </c>
      <c r="N31" s="2">
        <v>7638</v>
      </c>
      <c r="O31" s="2">
        <v>6956</v>
      </c>
      <c r="P31" s="2">
        <f>+O31/$O$3*12</f>
        <v>8347.2</v>
      </c>
      <c r="Q31" s="2">
        <v>7000</v>
      </c>
      <c r="R31" s="2">
        <v>7000</v>
      </c>
      <c r="S31" s="2">
        <v>7000</v>
      </c>
      <c r="T31" s="2">
        <v>7000</v>
      </c>
      <c r="U31" s="89">
        <f>(T31-Q31)/Q31</f>
        <v>0</v>
      </c>
    </row>
    <row r="32" spans="1:21" ht="12.75">
      <c r="A32" t="s">
        <v>189</v>
      </c>
      <c r="B32" s="4">
        <v>53.175</v>
      </c>
      <c r="C32" s="2">
        <v>55403</v>
      </c>
      <c r="D32" s="2">
        <v>40563</v>
      </c>
      <c r="E32" s="2">
        <v>54554</v>
      </c>
      <c r="F32" s="2">
        <v>76315</v>
      </c>
      <c r="G32" s="2">
        <v>67426</v>
      </c>
      <c r="H32" s="2">
        <v>58442</v>
      </c>
      <c r="I32" s="2">
        <v>60165</v>
      </c>
      <c r="J32" s="2">
        <v>85308</v>
      </c>
      <c r="K32" s="2">
        <f>102928+503</f>
        <v>103431</v>
      </c>
      <c r="L32" s="2">
        <v>114371</v>
      </c>
      <c r="M32" s="2">
        <v>72935</v>
      </c>
      <c r="N32" s="2">
        <v>69078</v>
      </c>
      <c r="O32" s="2">
        <v>77475</v>
      </c>
      <c r="P32" s="2">
        <f>+O32/$O$3*12</f>
        <v>92970</v>
      </c>
      <c r="Q32" s="2">
        <v>75000</v>
      </c>
      <c r="R32" s="2">
        <v>75000</v>
      </c>
      <c r="S32" s="2">
        <v>75000</v>
      </c>
      <c r="T32" s="2">
        <v>75000</v>
      </c>
      <c r="U32" s="89">
        <f>(T32-Q32)/Q32</f>
        <v>0</v>
      </c>
    </row>
    <row r="33" spans="1:22" ht="12.75" hidden="1">
      <c r="A33" t="s">
        <v>259</v>
      </c>
      <c r="B33" s="4">
        <v>53.1755</v>
      </c>
      <c r="C33" s="2">
        <v>5027</v>
      </c>
      <c r="D33" s="2">
        <v>4881</v>
      </c>
      <c r="E33" s="2"/>
      <c r="F33" s="2">
        <v>1224</v>
      </c>
      <c r="G33" s="2">
        <v>10525</v>
      </c>
      <c r="H33" s="2">
        <v>15374</v>
      </c>
      <c r="I33" s="2">
        <v>3708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9"/>
      <c r="V33" t="s">
        <v>886</v>
      </c>
    </row>
    <row r="34" spans="1:21" ht="12.75">
      <c r="A34" t="s">
        <v>178</v>
      </c>
      <c r="B34" s="4">
        <v>53.176</v>
      </c>
      <c r="C34" s="2">
        <v>3958</v>
      </c>
      <c r="D34" s="2">
        <v>3425</v>
      </c>
      <c r="E34" s="2">
        <v>3061</v>
      </c>
      <c r="F34" s="2">
        <v>3298</v>
      </c>
      <c r="G34" s="2">
        <v>4399</v>
      </c>
      <c r="H34" s="2">
        <v>4063</v>
      </c>
      <c r="I34" s="2">
        <v>5798</v>
      </c>
      <c r="J34" s="2">
        <v>5993</v>
      </c>
      <c r="K34" s="2">
        <v>6147</v>
      </c>
      <c r="L34" s="2">
        <v>6487</v>
      </c>
      <c r="M34" s="2">
        <v>5533</v>
      </c>
      <c r="N34" s="2">
        <v>7751</v>
      </c>
      <c r="O34" s="2">
        <v>5366</v>
      </c>
      <c r="P34" s="2">
        <f>+O34/$O$3*12</f>
        <v>6439.200000000001</v>
      </c>
      <c r="Q34" s="2">
        <v>6500</v>
      </c>
      <c r="R34" s="2">
        <v>6500</v>
      </c>
      <c r="S34" s="2">
        <v>6500</v>
      </c>
      <c r="T34" s="2">
        <v>6500</v>
      </c>
      <c r="U34" s="89">
        <f>(T34-Q34)/Q34</f>
        <v>0</v>
      </c>
    </row>
    <row r="35" spans="1:21" ht="12.75">
      <c r="A35" t="s">
        <v>179</v>
      </c>
      <c r="B35" s="4">
        <v>53.177</v>
      </c>
      <c r="C35" s="2">
        <v>10754</v>
      </c>
      <c r="D35" s="2">
        <v>14729</v>
      </c>
      <c r="E35" s="2">
        <v>10095</v>
      </c>
      <c r="F35" s="2">
        <v>18449</v>
      </c>
      <c r="G35" s="2">
        <v>11878</v>
      </c>
      <c r="H35" s="2">
        <v>13014</v>
      </c>
      <c r="I35" s="2">
        <v>13202</v>
      </c>
      <c r="J35" s="2">
        <v>34984</v>
      </c>
      <c r="K35" s="2">
        <v>16647</v>
      </c>
      <c r="L35" s="2">
        <v>35055</v>
      </c>
      <c r="M35" s="2">
        <v>13211</v>
      </c>
      <c r="N35" s="2">
        <v>27622</v>
      </c>
      <c r="O35" s="2">
        <v>16289</v>
      </c>
      <c r="P35" s="2">
        <f>+O35/$O$3*12</f>
        <v>19546.800000000003</v>
      </c>
      <c r="Q35" s="2">
        <v>20000</v>
      </c>
      <c r="R35" s="2">
        <v>20000</v>
      </c>
      <c r="S35" s="2">
        <v>20000</v>
      </c>
      <c r="T35" s="2">
        <v>20000</v>
      </c>
      <c r="U35" s="89">
        <f>(T35-Q35)/Q35</f>
        <v>0</v>
      </c>
    </row>
    <row r="36" spans="1:21" ht="12.75">
      <c r="A36" t="s">
        <v>192</v>
      </c>
      <c r="B36" s="4">
        <v>53.178</v>
      </c>
      <c r="C36" s="2">
        <v>2791</v>
      </c>
      <c r="D36" s="2">
        <v>2029</v>
      </c>
      <c r="E36" s="2">
        <v>2068</v>
      </c>
      <c r="F36" s="2">
        <v>1588</v>
      </c>
      <c r="G36" s="2">
        <v>2619</v>
      </c>
      <c r="H36" s="2">
        <v>1055</v>
      </c>
      <c r="I36" s="2">
        <v>2156</v>
      </c>
      <c r="J36" s="2">
        <v>1004</v>
      </c>
      <c r="K36" s="2">
        <v>2428</v>
      </c>
      <c r="L36" s="2">
        <v>2741</v>
      </c>
      <c r="M36" s="2">
        <v>2584</v>
      </c>
      <c r="N36" s="2">
        <v>3157</v>
      </c>
      <c r="O36" s="2">
        <v>1983</v>
      </c>
      <c r="P36" s="2">
        <f>+O36/$O$3*12</f>
        <v>2379.6000000000004</v>
      </c>
      <c r="Q36" s="2">
        <v>3000</v>
      </c>
      <c r="R36" s="2">
        <v>3000</v>
      </c>
      <c r="S36" s="2">
        <v>3000</v>
      </c>
      <c r="T36" s="2">
        <v>3000</v>
      </c>
      <c r="U36" s="89">
        <f>(T36-Q36)/Q36</f>
        <v>0</v>
      </c>
    </row>
    <row r="37" spans="1:21" ht="12.75">
      <c r="A37" t="s">
        <v>180</v>
      </c>
      <c r="B37" s="4">
        <v>53.179</v>
      </c>
      <c r="C37" s="2">
        <v>3827</v>
      </c>
      <c r="D37" s="2">
        <v>6560</v>
      </c>
      <c r="E37" s="2">
        <v>6528</v>
      </c>
      <c r="F37" s="2">
        <v>4765</v>
      </c>
      <c r="G37" s="2">
        <v>8679</v>
      </c>
      <c r="H37" s="2">
        <v>11008</v>
      </c>
      <c r="I37" s="2">
        <v>13425</v>
      </c>
      <c r="J37" s="2">
        <v>19201</v>
      </c>
      <c r="K37" s="2">
        <v>18052</v>
      </c>
      <c r="L37" s="2">
        <v>30072</v>
      </c>
      <c r="M37" s="2">
        <v>21466</v>
      </c>
      <c r="N37" s="2">
        <v>25717</v>
      </c>
      <c r="O37" s="2">
        <v>25252</v>
      </c>
      <c r="P37" s="2">
        <f>+O37/$O$3*12</f>
        <v>30302.399999999998</v>
      </c>
      <c r="Q37" s="2">
        <v>27000</v>
      </c>
      <c r="R37" s="2">
        <v>27000</v>
      </c>
      <c r="S37" s="2">
        <v>27000</v>
      </c>
      <c r="T37" s="2">
        <v>27000</v>
      </c>
      <c r="U37" s="89">
        <f>(T37-Q37)/Q37</f>
        <v>0</v>
      </c>
    </row>
    <row r="38" spans="1:22" ht="12.75">
      <c r="A38" t="s">
        <v>241</v>
      </c>
      <c r="B38" s="4">
        <v>53.18</v>
      </c>
      <c r="C38" s="2">
        <v>19524</v>
      </c>
      <c r="D38" s="2">
        <v>32914</v>
      </c>
      <c r="E38" s="2">
        <v>29222</v>
      </c>
      <c r="F38" s="2">
        <v>22406</v>
      </c>
      <c r="G38" s="2">
        <v>30330</v>
      </c>
      <c r="H38" s="2">
        <v>29659</v>
      </c>
      <c r="I38" s="2">
        <v>56080</v>
      </c>
      <c r="J38" s="2">
        <v>98898</v>
      </c>
      <c r="K38" s="2">
        <v>105406</v>
      </c>
      <c r="L38" s="2">
        <v>169757</v>
      </c>
      <c r="M38" s="2">
        <v>71401</v>
      </c>
      <c r="N38" s="2">
        <v>93199</v>
      </c>
      <c r="O38" s="2">
        <v>74514</v>
      </c>
      <c r="P38" s="2">
        <f>+O38/$O$3*12</f>
        <v>89416.79999999999</v>
      </c>
      <c r="Q38" s="2">
        <v>90000</v>
      </c>
      <c r="R38" s="2">
        <v>90000</v>
      </c>
      <c r="S38" s="2">
        <v>90000</v>
      </c>
      <c r="T38" s="2">
        <v>90000</v>
      </c>
      <c r="U38" s="89">
        <f>(T38-Q38)/Q38</f>
        <v>0</v>
      </c>
      <c r="V38" t="s">
        <v>511</v>
      </c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3" customHeight="1" hidden="1">
      <c r="A40" t="s">
        <v>253</v>
      </c>
      <c r="B40" s="4">
        <v>54.12</v>
      </c>
      <c r="C40" s="2"/>
      <c r="D40" s="2"/>
      <c r="E40" s="2"/>
      <c r="F40" s="2">
        <v>2618</v>
      </c>
      <c r="G40" s="2"/>
      <c r="H40" s="2"/>
      <c r="I40" s="2"/>
      <c r="J40" s="2"/>
      <c r="K40" s="2"/>
      <c r="L40" s="2"/>
      <c r="M40" s="2"/>
      <c r="N40" s="2"/>
      <c r="O40" s="2"/>
      <c r="P40" s="2">
        <f>+O40/$O$3*12</f>
        <v>0</v>
      </c>
      <c r="Q40" s="2"/>
      <c r="R40" s="2"/>
      <c r="S40" s="2"/>
      <c r="T40" s="2"/>
      <c r="U40" s="51"/>
    </row>
    <row r="41" spans="1:21" ht="12.75" hidden="1">
      <c r="A41" t="s">
        <v>260</v>
      </c>
      <c r="B41" s="4">
        <v>54.21</v>
      </c>
      <c r="C41" s="2"/>
      <c r="D41" s="2">
        <v>2600</v>
      </c>
      <c r="E41" s="2">
        <v>3049</v>
      </c>
      <c r="F41" s="2">
        <v>11519</v>
      </c>
      <c r="G41" s="2"/>
      <c r="H41" s="2"/>
      <c r="I41" s="2"/>
      <c r="J41" s="2"/>
      <c r="K41" s="2"/>
      <c r="L41" s="2"/>
      <c r="M41" s="2"/>
      <c r="N41" s="2"/>
      <c r="O41" s="2"/>
      <c r="P41" s="2">
        <f>+O41/$O$3*12</f>
        <v>0</v>
      </c>
      <c r="Q41" s="2"/>
      <c r="R41" s="2"/>
      <c r="S41" s="2"/>
      <c r="T41" s="2"/>
      <c r="U41" s="51"/>
    </row>
    <row r="42" spans="1:21" ht="12.75">
      <c r="A42" t="s">
        <v>326</v>
      </c>
      <c r="B42" s="4">
        <v>54.22</v>
      </c>
      <c r="C42" s="5">
        <v>20500</v>
      </c>
      <c r="D42" s="5"/>
      <c r="E42" s="5"/>
      <c r="F42" s="2">
        <v>11515</v>
      </c>
      <c r="G42" s="2"/>
      <c r="H42" s="2"/>
      <c r="I42" s="2"/>
      <c r="J42" s="2">
        <v>5304</v>
      </c>
      <c r="K42" s="2"/>
      <c r="L42" s="2">
        <v>3036</v>
      </c>
      <c r="M42" s="2"/>
      <c r="N42" s="2"/>
      <c r="O42" s="2"/>
      <c r="P42" s="2"/>
      <c r="Q42" s="2"/>
      <c r="R42" s="2"/>
      <c r="S42" s="2"/>
      <c r="T42" s="2"/>
      <c r="U42" s="51"/>
    </row>
    <row r="43" spans="1:21" ht="12.75">
      <c r="A43" t="s">
        <v>714</v>
      </c>
      <c r="B43" s="4">
        <v>54.411</v>
      </c>
      <c r="C43" s="5"/>
      <c r="D43" s="5"/>
      <c r="E43" s="5"/>
      <c r="F43" s="2"/>
      <c r="G43" s="2"/>
      <c r="H43" s="2"/>
      <c r="I43" s="2"/>
      <c r="J43" s="2">
        <v>74632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51"/>
    </row>
    <row r="44" spans="1:21" ht="12.75" hidden="1">
      <c r="A44" t="s">
        <v>327</v>
      </c>
      <c r="B44" s="4">
        <v>54.25</v>
      </c>
      <c r="C44" s="5"/>
      <c r="D44" s="5">
        <v>114</v>
      </c>
      <c r="E44" s="5"/>
      <c r="F44" s="2">
        <v>4610</v>
      </c>
      <c r="G44" s="2"/>
      <c r="H44" s="2">
        <v>750</v>
      </c>
      <c r="I44" s="2"/>
      <c r="J44" s="2"/>
      <c r="K44" s="2"/>
      <c r="L44" s="2"/>
      <c r="M44" s="2"/>
      <c r="N44" s="2"/>
      <c r="O44" s="2"/>
      <c r="P44" s="2"/>
      <c r="Q44" s="5"/>
      <c r="R44" s="5"/>
      <c r="S44" s="5"/>
      <c r="T44" s="5"/>
      <c r="U44" s="51"/>
    </row>
    <row r="45" spans="2:21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1"/>
    </row>
    <row r="46" spans="1:21" ht="12.75">
      <c r="A46" s="6" t="s">
        <v>119</v>
      </c>
      <c r="B46" s="6"/>
      <c r="C46" s="8">
        <v>710157</v>
      </c>
      <c r="D46" s="8">
        <v>719420</v>
      </c>
      <c r="E46" s="8">
        <v>775535</v>
      </c>
      <c r="F46" s="8">
        <v>763065</v>
      </c>
      <c r="G46" s="8">
        <v>677851</v>
      </c>
      <c r="H46" s="8">
        <v>807182</v>
      </c>
      <c r="I46" s="8">
        <f>SUM(I7:I45)</f>
        <v>793807</v>
      </c>
      <c r="J46" s="8">
        <v>1139844</v>
      </c>
      <c r="K46" s="8">
        <f aca="true" t="shared" si="0" ref="K46:T46">SUM(K7:K45)</f>
        <v>1094040</v>
      </c>
      <c r="L46" s="8">
        <v>1221074</v>
      </c>
      <c r="M46" s="8">
        <v>415410</v>
      </c>
      <c r="N46" s="8">
        <v>410152</v>
      </c>
      <c r="O46" s="8">
        <f t="shared" si="0"/>
        <v>308103</v>
      </c>
      <c r="P46" s="8">
        <f t="shared" si="0"/>
        <v>534821.8</v>
      </c>
      <c r="Q46" s="8">
        <f t="shared" si="0"/>
        <v>538891</v>
      </c>
      <c r="R46" s="8">
        <f t="shared" si="0"/>
        <v>561708.9605</v>
      </c>
      <c r="S46" s="8">
        <f t="shared" si="0"/>
        <v>561808.9605</v>
      </c>
      <c r="T46" s="8">
        <f t="shared" si="0"/>
        <v>498870.87450000003</v>
      </c>
      <c r="U46" s="59">
        <f>(T46-Q46)/Q46</f>
        <v>-0.07426385948178753</v>
      </c>
    </row>
    <row r="48" spans="17:19" ht="12.75">
      <c r="Q48" s="22" t="s">
        <v>484</v>
      </c>
      <c r="R48" s="22"/>
      <c r="S48" s="55">
        <f>R46-S46</f>
        <v>-100</v>
      </c>
    </row>
    <row r="49" spans="17:19" ht="12.75">
      <c r="Q49" s="22" t="s">
        <v>725</v>
      </c>
      <c r="R49" s="22"/>
      <c r="S49" s="55">
        <f>Q46-S46</f>
        <v>-22917.960500000045</v>
      </c>
    </row>
    <row r="50" spans="1:19" ht="12.75">
      <c r="A50" s="14"/>
      <c r="Q50" s="22" t="s">
        <v>432</v>
      </c>
      <c r="R50" s="22"/>
      <c r="S50" s="55">
        <f>S46-T46</f>
        <v>62938.08600000001</v>
      </c>
    </row>
    <row r="51" spans="1:20" ht="12.75">
      <c r="A51" s="16"/>
      <c r="R51" s="18"/>
      <c r="S51" s="18"/>
      <c r="T51" s="18"/>
    </row>
    <row r="52" spans="1:20" ht="12.75">
      <c r="A52" s="22" t="s">
        <v>1053</v>
      </c>
      <c r="R52" s="18"/>
      <c r="S52" s="18"/>
      <c r="T52" s="18"/>
    </row>
    <row r="53" ht="12.75">
      <c r="A53" t="s">
        <v>1054</v>
      </c>
    </row>
    <row r="54" spans="1:20" ht="12.75">
      <c r="A54" s="162" t="s">
        <v>799</v>
      </c>
      <c r="R54" s="18"/>
      <c r="S54" s="18"/>
      <c r="T54" s="18"/>
    </row>
    <row r="55" spans="1:20" ht="12.75">
      <c r="A55" s="162" t="s">
        <v>1092</v>
      </c>
      <c r="R55" s="18"/>
      <c r="S55" s="18"/>
      <c r="T55" s="18"/>
    </row>
    <row r="56" spans="1:20" ht="12.75">
      <c r="A56" s="14" t="s">
        <v>17</v>
      </c>
      <c r="R56" s="19"/>
      <c r="S56" s="19"/>
      <c r="T56" s="19"/>
    </row>
    <row r="57" ht="12.75">
      <c r="A57" s="22" t="s">
        <v>1102</v>
      </c>
    </row>
    <row r="59" ht="12.75">
      <c r="A59" s="14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spans="18:19" ht="12.75">
      <c r="R67" s="5"/>
      <c r="S67" s="5"/>
    </row>
    <row r="69" ht="12.75">
      <c r="S69" s="5"/>
    </row>
    <row r="70" spans="18:19" ht="12.75">
      <c r="R70" s="11"/>
      <c r="S70" s="5"/>
    </row>
    <row r="71" spans="18:19" ht="12.75">
      <c r="R71" s="11"/>
      <c r="S71" s="5"/>
    </row>
    <row r="72" spans="3:1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3:1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3:1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V78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9" width="11.71093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472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245287</v>
      </c>
      <c r="N7" s="2">
        <v>205479</v>
      </c>
      <c r="O7" s="2">
        <v>184295</v>
      </c>
      <c r="P7" s="2">
        <f>+O7/$O$3*12</f>
        <v>221154</v>
      </c>
      <c r="Q7" s="20">
        <v>260571.2</v>
      </c>
      <c r="R7" s="20">
        <v>294050.0935</v>
      </c>
      <c r="S7" s="20">
        <v>294050.0935</v>
      </c>
      <c r="T7" s="20">
        <v>294050.0935</v>
      </c>
      <c r="U7" s="89">
        <f>(T7-Q7)/Q7</f>
        <v>0.1284827083729898</v>
      </c>
      <c r="V7" t="s">
        <v>14</v>
      </c>
    </row>
    <row r="8" spans="1:22" ht="12.75">
      <c r="A8" t="s">
        <v>929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13807</v>
      </c>
      <c r="O8" s="2">
        <v>8862</v>
      </c>
      <c r="P8" s="2">
        <v>8900</v>
      </c>
      <c r="Q8" s="20">
        <v>15000</v>
      </c>
      <c r="R8" s="20"/>
      <c r="S8" s="20"/>
      <c r="T8" s="20"/>
      <c r="U8" s="89"/>
      <c r="V8" t="s">
        <v>511</v>
      </c>
    </row>
    <row r="9" spans="1:21" ht="12.75">
      <c r="A9" t="s">
        <v>154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1489</v>
      </c>
      <c r="N9" s="2">
        <v>783</v>
      </c>
      <c r="O9" s="2">
        <v>871</v>
      </c>
      <c r="P9" s="2">
        <f>+O9/$O$3*12</f>
        <v>1045.1999999999998</v>
      </c>
      <c r="Q9" s="2">
        <v>1500</v>
      </c>
      <c r="R9" s="2">
        <v>1500</v>
      </c>
      <c r="S9" s="2">
        <v>1500</v>
      </c>
      <c r="T9" s="2">
        <v>1500</v>
      </c>
      <c r="U9" s="89">
        <f>(T9-Q9)/Q9</f>
        <v>0</v>
      </c>
    </row>
    <row r="10" spans="1:22" ht="12.75">
      <c r="A10" t="s">
        <v>161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30700</v>
      </c>
      <c r="N10" s="2">
        <v>22379</v>
      </c>
      <c r="O10" s="2">
        <v>20059</v>
      </c>
      <c r="P10" s="2">
        <f>+O10/$O$3*12</f>
        <v>24070.800000000003</v>
      </c>
      <c r="Q10" s="31">
        <v>39680</v>
      </c>
      <c r="R10" s="31">
        <v>42808</v>
      </c>
      <c r="S10" s="31">
        <f>5351*8</f>
        <v>42808</v>
      </c>
      <c r="T10" s="31">
        <v>42808</v>
      </c>
      <c r="U10" s="89">
        <f>(T10-Q10)/Q10</f>
        <v>0.07883064516129032</v>
      </c>
      <c r="V10" t="s">
        <v>921</v>
      </c>
    </row>
    <row r="11" spans="1:22" s="22" customFormat="1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1200</v>
      </c>
      <c r="S11" s="31">
        <v>1200</v>
      </c>
      <c r="T11" s="31">
        <v>1200</v>
      </c>
      <c r="U11" s="51"/>
      <c r="V11" s="22" t="s">
        <v>575</v>
      </c>
    </row>
    <row r="12" spans="1:21" ht="12.75">
      <c r="A12" t="s">
        <v>141</v>
      </c>
      <c r="B12" s="4">
        <v>51.22</v>
      </c>
      <c r="C12" s="2">
        <v>10904</v>
      </c>
      <c r="D12" s="2">
        <v>11512</v>
      </c>
      <c r="E12" s="2">
        <v>12151</v>
      </c>
      <c r="F12" s="2">
        <v>14519</v>
      </c>
      <c r="G12" s="2">
        <v>14173</v>
      </c>
      <c r="H12" s="2">
        <v>16369</v>
      </c>
      <c r="I12" s="2">
        <v>16505</v>
      </c>
      <c r="J12" s="2">
        <v>17426</v>
      </c>
      <c r="K12" s="2">
        <v>17474</v>
      </c>
      <c r="L12" s="2">
        <v>19417.89</v>
      </c>
      <c r="M12" s="2">
        <v>18816</v>
      </c>
      <c r="N12" s="2">
        <v>16769</v>
      </c>
      <c r="O12" s="2">
        <v>14793</v>
      </c>
      <c r="P12" s="2">
        <f>+O12/$O$3*12</f>
        <v>17751.6</v>
      </c>
      <c r="Q12" s="20">
        <f>(Q7+Q8)*0.0765</f>
        <v>21081.1968</v>
      </c>
      <c r="R12" s="20">
        <f>(R7+R8+R9)*0.0765</f>
        <v>22609.58215275</v>
      </c>
      <c r="S12" s="20">
        <f>(S7+S8+S9)*0.0765</f>
        <v>22609.58215275</v>
      </c>
      <c r="T12" s="20">
        <v>22456.269</v>
      </c>
      <c r="U12" s="89">
        <f>(T12-Q12)/Q12</f>
        <v>0.0652274257977611</v>
      </c>
    </row>
    <row r="13" spans="1:21" ht="12.75">
      <c r="A13" t="s">
        <v>155</v>
      </c>
      <c r="B13" s="4">
        <v>51.24</v>
      </c>
      <c r="C13" s="2">
        <v>2871</v>
      </c>
      <c r="D13" s="2">
        <v>3057</v>
      </c>
      <c r="E13" s="2">
        <v>4345</v>
      </c>
      <c r="F13" s="2">
        <v>4007</v>
      </c>
      <c r="G13" s="2">
        <v>4511</v>
      </c>
      <c r="H13" s="2">
        <v>5035</v>
      </c>
      <c r="I13" s="2">
        <v>5856</v>
      </c>
      <c r="J13" s="2">
        <v>6313</v>
      </c>
      <c r="K13" s="2">
        <v>5830</v>
      </c>
      <c r="L13" s="2">
        <v>6616</v>
      </c>
      <c r="M13" s="2">
        <v>2271</v>
      </c>
      <c r="N13" s="2">
        <v>3359</v>
      </c>
      <c r="O13" s="2">
        <v>2817</v>
      </c>
      <c r="P13" s="2">
        <f>+O13/$O$3*12</f>
        <v>3380.3999999999996</v>
      </c>
      <c r="Q13" s="20">
        <v>3600</v>
      </c>
      <c r="R13" s="20">
        <v>3500</v>
      </c>
      <c r="S13" s="20">
        <v>3500</v>
      </c>
      <c r="T13" s="20">
        <v>3500</v>
      </c>
      <c r="U13" s="89">
        <f>(T13-Q13)/Q13</f>
        <v>-0.027777777777777776</v>
      </c>
    </row>
    <row r="14" spans="1:21" ht="12.75">
      <c r="A14" t="s">
        <v>1020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5309</v>
      </c>
      <c r="P14" s="2">
        <v>5309</v>
      </c>
      <c r="Q14" s="2">
        <v>5309</v>
      </c>
      <c r="R14" s="2">
        <v>5500</v>
      </c>
      <c r="S14" s="2">
        <v>5500</v>
      </c>
      <c r="T14" s="2">
        <v>5500</v>
      </c>
      <c r="U14" s="89">
        <f>(T14-Q14)/Q14</f>
        <v>0.03597664343567527</v>
      </c>
    </row>
    <row r="15" spans="2:22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0"/>
      <c r="R15" s="2"/>
      <c r="S15" s="20"/>
      <c r="T15" s="20"/>
      <c r="U15" s="89"/>
      <c r="V15" s="2"/>
    </row>
    <row r="16" spans="1:21" ht="12.75" hidden="1">
      <c r="A16" t="s">
        <v>659</v>
      </c>
      <c r="B16" s="4">
        <v>52.1307</v>
      </c>
      <c r="C16" s="2"/>
      <c r="D16" s="2"/>
      <c r="E16" s="2">
        <v>300</v>
      </c>
      <c r="F16" s="2">
        <v>325</v>
      </c>
      <c r="G16" s="2"/>
      <c r="H16" s="2"/>
      <c r="I16" s="2"/>
      <c r="J16" s="2"/>
      <c r="K16" s="2"/>
      <c r="L16" s="2"/>
      <c r="M16" s="2"/>
      <c r="N16" s="2"/>
      <c r="O16" s="2"/>
      <c r="P16" s="2">
        <f>+O16/$O$3*12</f>
        <v>0</v>
      </c>
      <c r="Q16" s="20"/>
      <c r="R16" s="2"/>
      <c r="S16" s="20"/>
      <c r="T16" s="20"/>
      <c r="U16" s="89"/>
    </row>
    <row r="17" spans="1:21" ht="12.75">
      <c r="A17" t="s">
        <v>386</v>
      </c>
      <c r="B17" s="4">
        <v>52.22</v>
      </c>
      <c r="C17" s="2"/>
      <c r="D17" s="2"/>
      <c r="E17" s="2">
        <v>1812</v>
      </c>
      <c r="F17" s="2"/>
      <c r="G17" s="2"/>
      <c r="H17" s="2"/>
      <c r="I17" s="2">
        <v>450</v>
      </c>
      <c r="J17" s="2">
        <v>419</v>
      </c>
      <c r="K17" s="2">
        <v>215</v>
      </c>
      <c r="L17" s="2">
        <v>300</v>
      </c>
      <c r="M17" s="2">
        <v>224</v>
      </c>
      <c r="N17" s="2"/>
      <c r="O17" s="2">
        <v>79</v>
      </c>
      <c r="P17" s="2">
        <v>500</v>
      </c>
      <c r="Q17" s="20">
        <v>500</v>
      </c>
      <c r="R17" s="2">
        <v>500</v>
      </c>
      <c r="S17" s="20">
        <v>500</v>
      </c>
      <c r="T17" s="20">
        <v>500</v>
      </c>
      <c r="U17" s="89"/>
    </row>
    <row r="18" spans="1:21" ht="12.75">
      <c r="A18" t="s">
        <v>266</v>
      </c>
      <c r="B18" s="4">
        <v>52.2206</v>
      </c>
      <c r="C18" s="2">
        <v>480</v>
      </c>
      <c r="D18" s="2">
        <v>412</v>
      </c>
      <c r="E18" s="2">
        <v>160</v>
      </c>
      <c r="F18" s="2">
        <v>791</v>
      </c>
      <c r="G18" s="2">
        <v>434</v>
      </c>
      <c r="H18" s="2">
        <v>444</v>
      </c>
      <c r="I18" s="2">
        <v>585</v>
      </c>
      <c r="J18" s="2">
        <v>536</v>
      </c>
      <c r="K18" s="2">
        <v>193</v>
      </c>
      <c r="L18" s="2">
        <v>205</v>
      </c>
      <c r="M18" s="2">
        <v>736</v>
      </c>
      <c r="N18" s="2"/>
      <c r="O18" s="2">
        <v>1055</v>
      </c>
      <c r="P18" s="2">
        <v>1100</v>
      </c>
      <c r="Q18" s="20">
        <v>800</v>
      </c>
      <c r="R18" s="2">
        <v>800</v>
      </c>
      <c r="S18" s="20">
        <v>800</v>
      </c>
      <c r="T18" s="20">
        <v>800</v>
      </c>
      <c r="U18" s="89">
        <f>(T18-Q18)/Q18</f>
        <v>0</v>
      </c>
    </row>
    <row r="19" spans="1:21" ht="12.75" hidden="1">
      <c r="A19" t="s">
        <v>387</v>
      </c>
      <c r="B19" s="4">
        <v>52.23</v>
      </c>
      <c r="C19" s="2"/>
      <c r="D19" s="2"/>
      <c r="E19" s="2"/>
      <c r="F19" s="2">
        <v>62</v>
      </c>
      <c r="G19" s="2"/>
      <c r="H19" s="2"/>
      <c r="I19" s="2"/>
      <c r="J19" s="2"/>
      <c r="K19" s="2"/>
      <c r="L19" s="2"/>
      <c r="M19" s="2"/>
      <c r="N19" s="2"/>
      <c r="P19" s="2">
        <f>+O19/$O$3*12</f>
        <v>0</v>
      </c>
      <c r="Q19" s="20"/>
      <c r="R19" s="2"/>
      <c r="S19" s="20"/>
      <c r="T19" s="20"/>
      <c r="U19" s="89"/>
    </row>
    <row r="20" spans="1:21" ht="12.75">
      <c r="A20" t="s">
        <v>267</v>
      </c>
      <c r="B20" s="4">
        <v>52.2327</v>
      </c>
      <c r="C20" s="2"/>
      <c r="D20" s="2"/>
      <c r="E20" s="2"/>
      <c r="F20" s="2">
        <v>875</v>
      </c>
      <c r="G20" s="2">
        <v>644</v>
      </c>
      <c r="H20" s="2">
        <v>739</v>
      </c>
      <c r="I20" s="2">
        <v>763</v>
      </c>
      <c r="J20" s="2">
        <v>427</v>
      </c>
      <c r="K20" s="2">
        <v>379</v>
      </c>
      <c r="L20" s="2">
        <v>409</v>
      </c>
      <c r="M20" s="2">
        <v>409</v>
      </c>
      <c r="N20" s="2">
        <v>45</v>
      </c>
      <c r="O20" s="11">
        <v>364</v>
      </c>
      <c r="P20" s="2">
        <v>600</v>
      </c>
      <c r="Q20" s="20">
        <v>500</v>
      </c>
      <c r="R20" s="2">
        <v>500</v>
      </c>
      <c r="S20" s="20">
        <v>500</v>
      </c>
      <c r="T20" s="20">
        <v>500</v>
      </c>
      <c r="U20" s="89">
        <f>(T20-Q20)/Q20</f>
        <v>0</v>
      </c>
    </row>
    <row r="21" spans="1:21" ht="12.75">
      <c r="A21" t="s">
        <v>143</v>
      </c>
      <c r="B21" s="4">
        <v>52.32</v>
      </c>
      <c r="C21" s="2">
        <v>1573</v>
      </c>
      <c r="D21" s="2">
        <v>1632</v>
      </c>
      <c r="E21" s="2">
        <v>1922</v>
      </c>
      <c r="F21" s="2">
        <v>2078</v>
      </c>
      <c r="G21" s="2">
        <v>1804</v>
      </c>
      <c r="H21" s="2">
        <v>2582</v>
      </c>
      <c r="I21" s="2">
        <v>2088</v>
      </c>
      <c r="J21" s="2">
        <v>2607</v>
      </c>
      <c r="K21" s="2">
        <v>3001</v>
      </c>
      <c r="L21" s="2">
        <v>2960</v>
      </c>
      <c r="M21" s="2">
        <v>2945</v>
      </c>
      <c r="N21" s="2">
        <v>3093</v>
      </c>
      <c r="O21" s="11">
        <v>2409</v>
      </c>
      <c r="P21" s="2">
        <f>+O21/$O$3*12</f>
        <v>2890.8</v>
      </c>
      <c r="Q21" s="20">
        <v>2800</v>
      </c>
      <c r="R21" s="2">
        <v>2800</v>
      </c>
      <c r="S21" s="20">
        <v>2800</v>
      </c>
      <c r="T21" s="20">
        <v>2800</v>
      </c>
      <c r="U21" s="89">
        <f>(T21-Q21)/Q21</f>
        <v>0</v>
      </c>
    </row>
    <row r="22" spans="1:21" ht="12.75">
      <c r="A22" t="s">
        <v>144</v>
      </c>
      <c r="B22" s="4">
        <v>52.321</v>
      </c>
      <c r="C22" s="2">
        <v>74</v>
      </c>
      <c r="D22" s="2">
        <v>50</v>
      </c>
      <c r="E22" s="2">
        <v>34</v>
      </c>
      <c r="F22" s="2">
        <v>34</v>
      </c>
      <c r="G22" s="2">
        <v>74</v>
      </c>
      <c r="H22" s="2">
        <v>37</v>
      </c>
      <c r="I22" s="2">
        <v>22</v>
      </c>
      <c r="J22" s="2">
        <v>37</v>
      </c>
      <c r="K22" s="2">
        <v>122</v>
      </c>
      <c r="L22" s="2"/>
      <c r="M22" s="2">
        <v>42</v>
      </c>
      <c r="N22" s="2"/>
      <c r="O22" s="11">
        <v>70</v>
      </c>
      <c r="P22" s="2">
        <v>70</v>
      </c>
      <c r="Q22" s="20">
        <v>75</v>
      </c>
      <c r="R22" s="2">
        <v>75</v>
      </c>
      <c r="S22" s="20">
        <v>75</v>
      </c>
      <c r="T22" s="20">
        <v>75</v>
      </c>
      <c r="U22" s="89">
        <f>(T22-Q22)/Q22</f>
        <v>0</v>
      </c>
    </row>
    <row r="23" spans="1:21" ht="12.75">
      <c r="A23" t="s">
        <v>165</v>
      </c>
      <c r="B23" s="4">
        <v>52.33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>
        <v>458</v>
      </c>
      <c r="P23" s="2">
        <v>500</v>
      </c>
      <c r="Q23" s="20"/>
      <c r="R23" s="2"/>
      <c r="S23" s="20"/>
      <c r="T23" s="20"/>
      <c r="U23" s="89"/>
    </row>
    <row r="24" spans="1:21" ht="12.75">
      <c r="A24" t="s">
        <v>156</v>
      </c>
      <c r="B24" s="4">
        <v>52.35</v>
      </c>
      <c r="C24" s="2">
        <v>99</v>
      </c>
      <c r="D24" s="2">
        <v>357</v>
      </c>
      <c r="E24" s="2"/>
      <c r="F24" s="2">
        <v>61</v>
      </c>
      <c r="G24" s="2"/>
      <c r="H24" s="2">
        <v>37</v>
      </c>
      <c r="I24" s="2">
        <f>79+5</f>
        <v>84</v>
      </c>
      <c r="J24" s="2">
        <v>73</v>
      </c>
      <c r="K24" s="2">
        <v>87</v>
      </c>
      <c r="L24" s="2">
        <v>170</v>
      </c>
      <c r="M24" s="2">
        <v>20</v>
      </c>
      <c r="N24" s="2"/>
      <c r="O24" s="11"/>
      <c r="P24" s="2">
        <v>100</v>
      </c>
      <c r="Q24" s="20">
        <v>100</v>
      </c>
      <c r="R24" s="2">
        <v>100</v>
      </c>
      <c r="S24" s="20">
        <v>100</v>
      </c>
      <c r="T24" s="20">
        <v>100</v>
      </c>
      <c r="U24" s="89">
        <f>(T24-Q24)/Q24</f>
        <v>0</v>
      </c>
    </row>
    <row r="25" spans="1:21" ht="12.75" hidden="1">
      <c r="A25" t="s">
        <v>147</v>
      </c>
      <c r="B25" s="4">
        <v>52.37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>+O25/$O$3*12</f>
        <v>0</v>
      </c>
      <c r="Q25" s="20"/>
      <c r="R25" s="2"/>
      <c r="S25" s="20"/>
      <c r="T25" s="20"/>
      <c r="U25" s="89"/>
    </row>
    <row r="26" spans="2:21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  <c r="R26" s="2"/>
      <c r="S26" s="20"/>
      <c r="T26" s="20"/>
      <c r="U26" s="89"/>
    </row>
    <row r="27" spans="1:21" ht="12.75">
      <c r="A27" t="s">
        <v>150</v>
      </c>
      <c r="B27" s="4">
        <v>53.12</v>
      </c>
      <c r="C27" s="2">
        <v>3084</v>
      </c>
      <c r="D27" s="2">
        <v>6868</v>
      </c>
      <c r="E27" s="2">
        <v>6979</v>
      </c>
      <c r="F27" s="2">
        <v>5595</v>
      </c>
      <c r="G27" s="2">
        <v>6692</v>
      </c>
      <c r="H27" s="2">
        <v>6148</v>
      </c>
      <c r="I27" s="2">
        <v>7630</v>
      </c>
      <c r="J27" s="2">
        <v>7419</v>
      </c>
      <c r="K27" s="2">
        <v>7889</v>
      </c>
      <c r="L27" s="2">
        <f>8097+449</f>
        <v>8546</v>
      </c>
      <c r="M27" s="2">
        <v>8389</v>
      </c>
      <c r="N27" s="2">
        <v>9018</v>
      </c>
      <c r="O27" s="11">
        <v>7142</v>
      </c>
      <c r="P27" s="2">
        <f>+O27/$O$3*12</f>
        <v>8570.400000000001</v>
      </c>
      <c r="Q27" s="20">
        <v>9000</v>
      </c>
      <c r="R27" s="2">
        <v>9000</v>
      </c>
      <c r="S27" s="20">
        <v>9000</v>
      </c>
      <c r="T27" s="20">
        <v>9000</v>
      </c>
      <c r="U27" s="89">
        <f>(T27-Q27)/Q27</f>
        <v>0</v>
      </c>
    </row>
    <row r="28" spans="1:21" ht="12.75">
      <c r="A28" t="s">
        <v>268</v>
      </c>
      <c r="B28" s="4">
        <v>53.161</v>
      </c>
      <c r="C28" s="2">
        <v>2390</v>
      </c>
      <c r="D28" s="2">
        <v>2380</v>
      </c>
      <c r="E28" s="2">
        <v>3381</v>
      </c>
      <c r="F28" s="2">
        <v>3446</v>
      </c>
      <c r="G28" s="2">
        <v>3781</v>
      </c>
      <c r="H28" s="2">
        <v>5195</v>
      </c>
      <c r="I28" s="2">
        <v>5508</v>
      </c>
      <c r="J28" s="2">
        <v>6211</v>
      </c>
      <c r="K28" s="2">
        <v>6764</v>
      </c>
      <c r="L28" s="2">
        <v>4886</v>
      </c>
      <c r="M28" s="2">
        <v>4023</v>
      </c>
      <c r="N28" s="2">
        <v>2966</v>
      </c>
      <c r="O28" s="11">
        <v>3400</v>
      </c>
      <c r="P28" s="2">
        <v>5900</v>
      </c>
      <c r="Q28" s="20">
        <v>5900</v>
      </c>
      <c r="R28" s="2">
        <v>5900</v>
      </c>
      <c r="S28" s="20">
        <v>5900</v>
      </c>
      <c r="T28" s="20">
        <v>5900</v>
      </c>
      <c r="U28" s="89">
        <f>(T28-Q28)/Q28</f>
        <v>0</v>
      </c>
    </row>
    <row r="29" spans="1:21" ht="12.75" hidden="1">
      <c r="A29" t="s">
        <v>269</v>
      </c>
      <c r="B29" s="4">
        <v>53.17</v>
      </c>
      <c r="C29" s="2"/>
      <c r="D29" s="2"/>
      <c r="E29" s="2"/>
      <c r="F29" s="2">
        <v>150</v>
      </c>
      <c r="G29" s="2"/>
      <c r="H29" s="2"/>
      <c r="I29" s="2"/>
      <c r="J29" s="2"/>
      <c r="K29" s="2"/>
      <c r="L29" s="2"/>
      <c r="M29" s="2"/>
      <c r="N29" s="2"/>
      <c r="P29" s="2"/>
      <c r="Q29" s="20"/>
      <c r="R29" s="2"/>
      <c r="S29" s="20"/>
      <c r="T29" s="20"/>
      <c r="U29" s="89"/>
    </row>
    <row r="30" spans="1:21" ht="12.75">
      <c r="A30" t="s">
        <v>270</v>
      </c>
      <c r="B30" s="4">
        <v>53.1702</v>
      </c>
      <c r="C30" s="2">
        <v>156</v>
      </c>
      <c r="D30" s="2">
        <v>98</v>
      </c>
      <c r="E30" s="2">
        <v>131</v>
      </c>
      <c r="F30" s="2">
        <v>115</v>
      </c>
      <c r="G30" s="2">
        <v>92</v>
      </c>
      <c r="H30" s="2">
        <v>80</v>
      </c>
      <c r="I30" s="2">
        <v>95</v>
      </c>
      <c r="J30" s="2">
        <v>74</v>
      </c>
      <c r="K30" s="2">
        <v>115</v>
      </c>
      <c r="L30" s="2">
        <v>144</v>
      </c>
      <c r="M30" s="2">
        <v>141</v>
      </c>
      <c r="N30" s="2">
        <v>130</v>
      </c>
      <c r="O30" s="2">
        <v>135</v>
      </c>
      <c r="P30" s="2">
        <f aca="true" t="shared" si="0" ref="P30:P35">+O30/$O$3*12</f>
        <v>162</v>
      </c>
      <c r="Q30" s="20">
        <v>200</v>
      </c>
      <c r="R30" s="2">
        <v>200</v>
      </c>
      <c r="S30" s="20">
        <v>200</v>
      </c>
      <c r="T30" s="20">
        <v>200</v>
      </c>
      <c r="U30" s="89">
        <f aca="true" t="shared" si="1" ref="U30:U40">(T30-Q30)/Q30</f>
        <v>0</v>
      </c>
    </row>
    <row r="31" spans="1:21" ht="12.75">
      <c r="A31" t="s">
        <v>271</v>
      </c>
      <c r="B31" s="4">
        <v>53.1705</v>
      </c>
      <c r="C31" s="2">
        <v>3994</v>
      </c>
      <c r="D31" s="2">
        <v>2981</v>
      </c>
      <c r="E31" s="2">
        <v>10304</v>
      </c>
      <c r="F31" s="2">
        <v>2619</v>
      </c>
      <c r="G31" s="2">
        <v>2657</v>
      </c>
      <c r="H31" s="2">
        <v>2040</v>
      </c>
      <c r="I31" s="2">
        <v>2856</v>
      </c>
      <c r="J31" s="2">
        <v>3394</v>
      </c>
      <c r="K31" s="2">
        <v>2888</v>
      </c>
      <c r="L31" s="2">
        <v>2319</v>
      </c>
      <c r="M31" s="2">
        <v>2537</v>
      </c>
      <c r="N31" s="2">
        <v>2066</v>
      </c>
      <c r="O31" s="11">
        <v>1378</v>
      </c>
      <c r="P31" s="2">
        <v>2500</v>
      </c>
      <c r="Q31" s="20">
        <v>2500</v>
      </c>
      <c r="R31" s="2">
        <v>2500</v>
      </c>
      <c r="S31" s="20">
        <v>2500</v>
      </c>
      <c r="T31" s="20">
        <v>2500</v>
      </c>
      <c r="U31" s="89">
        <f t="shared" si="1"/>
        <v>0</v>
      </c>
    </row>
    <row r="32" spans="1:21" ht="12.75">
      <c r="A32" t="s">
        <v>263</v>
      </c>
      <c r="B32" s="4">
        <v>53.171</v>
      </c>
      <c r="C32" s="2">
        <v>1403</v>
      </c>
      <c r="D32" s="2">
        <v>1753</v>
      </c>
      <c r="E32" s="2">
        <v>1186</v>
      </c>
      <c r="F32" s="2">
        <v>1079</v>
      </c>
      <c r="G32" s="2">
        <v>937</v>
      </c>
      <c r="H32" s="2">
        <v>477</v>
      </c>
      <c r="I32" s="2">
        <v>693</v>
      </c>
      <c r="J32" s="2">
        <v>598</v>
      </c>
      <c r="K32" s="2">
        <v>504</v>
      </c>
      <c r="L32" s="2">
        <v>799</v>
      </c>
      <c r="M32" s="2">
        <v>215</v>
      </c>
      <c r="N32" s="2">
        <v>523</v>
      </c>
      <c r="O32" s="11">
        <v>998</v>
      </c>
      <c r="P32" s="2">
        <f t="shared" si="0"/>
        <v>1197.6</v>
      </c>
      <c r="Q32" s="20">
        <v>600</v>
      </c>
      <c r="R32" s="2">
        <v>600</v>
      </c>
      <c r="S32" s="20">
        <v>600</v>
      </c>
      <c r="T32" s="20">
        <v>600</v>
      </c>
      <c r="U32" s="89">
        <f t="shared" si="1"/>
        <v>0</v>
      </c>
    </row>
    <row r="33" spans="1:21" ht="12.75">
      <c r="A33" t="s">
        <v>272</v>
      </c>
      <c r="B33" s="4">
        <v>53.172</v>
      </c>
      <c r="C33" s="2">
        <v>5947</v>
      </c>
      <c r="D33" s="2">
        <v>2962</v>
      </c>
      <c r="E33" s="2">
        <v>7992</v>
      </c>
      <c r="F33" s="2">
        <v>2109</v>
      </c>
      <c r="G33" s="2">
        <v>588</v>
      </c>
      <c r="H33" s="2">
        <v>1406</v>
      </c>
      <c r="I33" s="2">
        <v>1201</v>
      </c>
      <c r="J33" s="2">
        <v>1049</v>
      </c>
      <c r="K33" s="2">
        <v>2651</v>
      </c>
      <c r="L33" s="2">
        <v>2810</v>
      </c>
      <c r="M33" s="2">
        <v>2693</v>
      </c>
      <c r="N33" s="2">
        <v>1646</v>
      </c>
      <c r="O33" s="11">
        <v>637</v>
      </c>
      <c r="P33" s="2">
        <v>2700</v>
      </c>
      <c r="Q33" s="20">
        <v>2700</v>
      </c>
      <c r="R33" s="2">
        <v>2700</v>
      </c>
      <c r="S33" s="20">
        <v>2700</v>
      </c>
      <c r="T33" s="20">
        <v>2700</v>
      </c>
      <c r="U33" s="89">
        <f t="shared" si="1"/>
        <v>0</v>
      </c>
    </row>
    <row r="34" spans="1:21" ht="12.75">
      <c r="A34" t="s">
        <v>901</v>
      </c>
      <c r="B34" s="4">
        <v>53.1737</v>
      </c>
      <c r="C34" s="2"/>
      <c r="D34" s="2"/>
      <c r="E34" s="2"/>
      <c r="F34" s="2"/>
      <c r="G34" s="2"/>
      <c r="H34" s="2"/>
      <c r="I34" s="2"/>
      <c r="J34" s="2"/>
      <c r="K34" s="2"/>
      <c r="L34" s="2">
        <v>167</v>
      </c>
      <c r="M34" s="2"/>
      <c r="N34" s="2"/>
      <c r="O34" s="11"/>
      <c r="P34" s="2"/>
      <c r="Q34" s="20"/>
      <c r="R34" s="2"/>
      <c r="S34" s="20"/>
      <c r="T34" s="20"/>
      <c r="U34" s="89"/>
    </row>
    <row r="35" spans="1:21" ht="12.75">
      <c r="A35" t="s">
        <v>273</v>
      </c>
      <c r="B35" s="4">
        <v>53.174</v>
      </c>
      <c r="C35" s="2">
        <v>1531</v>
      </c>
      <c r="D35" s="2">
        <v>1534</v>
      </c>
      <c r="E35" s="2">
        <v>1379</v>
      </c>
      <c r="F35" s="2">
        <v>1486</v>
      </c>
      <c r="G35" s="2">
        <v>1711</v>
      </c>
      <c r="H35" s="2">
        <v>1927</v>
      </c>
      <c r="I35" s="2">
        <v>1983</v>
      </c>
      <c r="J35" s="2">
        <v>2289</v>
      </c>
      <c r="K35" s="2">
        <v>2140</v>
      </c>
      <c r="L35" s="2">
        <v>2448</v>
      </c>
      <c r="M35" s="2">
        <v>2929</v>
      </c>
      <c r="N35" s="2">
        <v>2113</v>
      </c>
      <c r="O35" s="11">
        <v>2282</v>
      </c>
      <c r="P35" s="2">
        <f t="shared" si="0"/>
        <v>2738.3999999999996</v>
      </c>
      <c r="Q35" s="20">
        <v>2500</v>
      </c>
      <c r="R35" s="2">
        <v>2800</v>
      </c>
      <c r="S35" s="20">
        <v>2800</v>
      </c>
      <c r="T35" s="20">
        <v>2800</v>
      </c>
      <c r="U35" s="89">
        <f t="shared" si="1"/>
        <v>0.12</v>
      </c>
    </row>
    <row r="36" spans="1:21" ht="12.75">
      <c r="A36" t="s">
        <v>274</v>
      </c>
      <c r="B36" s="4">
        <v>53.175</v>
      </c>
      <c r="C36" s="2">
        <v>1034</v>
      </c>
      <c r="D36" s="2">
        <v>2374</v>
      </c>
      <c r="E36" s="2">
        <v>1433</v>
      </c>
      <c r="F36" s="2">
        <v>793</v>
      </c>
      <c r="G36" s="2">
        <v>882</v>
      </c>
      <c r="H36" s="2">
        <v>1428</v>
      </c>
      <c r="I36" s="2">
        <v>1202</v>
      </c>
      <c r="J36" s="2">
        <v>976</v>
      </c>
      <c r="K36" s="2">
        <v>1789</v>
      </c>
      <c r="L36" s="2">
        <v>1342</v>
      </c>
      <c r="M36" s="2">
        <v>3913</v>
      </c>
      <c r="N36" s="2">
        <v>1475</v>
      </c>
      <c r="O36" s="11">
        <v>1658</v>
      </c>
      <c r="P36" s="2">
        <f aca="true" t="shared" si="2" ref="P36:P41">+O36/$O$3*12</f>
        <v>1989.6000000000001</v>
      </c>
      <c r="Q36" s="20">
        <v>1600</v>
      </c>
      <c r="R36" s="2">
        <v>1600</v>
      </c>
      <c r="S36" s="20">
        <v>1600</v>
      </c>
      <c r="T36" s="20">
        <v>1600</v>
      </c>
      <c r="U36" s="89">
        <f t="shared" si="1"/>
        <v>0</v>
      </c>
    </row>
    <row r="37" spans="1:21" ht="12.75">
      <c r="A37" t="s">
        <v>275</v>
      </c>
      <c r="B37" s="4">
        <v>53.176</v>
      </c>
      <c r="C37" s="2">
        <v>136</v>
      </c>
      <c r="D37" s="2">
        <v>96</v>
      </c>
      <c r="E37" s="2">
        <v>160</v>
      </c>
      <c r="F37" s="2">
        <v>139</v>
      </c>
      <c r="G37" s="2">
        <v>106</v>
      </c>
      <c r="H37" s="2">
        <v>162</v>
      </c>
      <c r="I37" s="2">
        <v>141</v>
      </c>
      <c r="J37" s="2">
        <v>186</v>
      </c>
      <c r="K37" s="2">
        <v>220</v>
      </c>
      <c r="L37" s="2">
        <v>190</v>
      </c>
      <c r="M37" s="2">
        <v>361</v>
      </c>
      <c r="N37" s="2">
        <v>196</v>
      </c>
      <c r="O37" s="11">
        <v>157</v>
      </c>
      <c r="P37" s="2">
        <f t="shared" si="2"/>
        <v>188.39999999999998</v>
      </c>
      <c r="Q37" s="20">
        <v>160</v>
      </c>
      <c r="R37" s="2">
        <v>160</v>
      </c>
      <c r="S37" s="20">
        <v>160</v>
      </c>
      <c r="T37" s="20">
        <v>160</v>
      </c>
      <c r="U37" s="89">
        <f t="shared" si="1"/>
        <v>0</v>
      </c>
    </row>
    <row r="38" spans="1:21" ht="12.75">
      <c r="A38" t="s">
        <v>276</v>
      </c>
      <c r="B38" s="4">
        <v>53.177</v>
      </c>
      <c r="C38" s="2">
        <v>1</v>
      </c>
      <c r="D38" s="2">
        <v>4</v>
      </c>
      <c r="E38" s="2">
        <v>395</v>
      </c>
      <c r="F38" s="2">
        <v>122</v>
      </c>
      <c r="G38" s="2">
        <v>71</v>
      </c>
      <c r="H38" s="2">
        <v>273</v>
      </c>
      <c r="I38" s="2"/>
      <c r="J38" s="2"/>
      <c r="K38" s="2">
        <v>957</v>
      </c>
      <c r="L38" s="2"/>
      <c r="M38" s="2"/>
      <c r="N38" s="2"/>
      <c r="O38" s="11">
        <v>152</v>
      </c>
      <c r="P38" s="2">
        <f t="shared" si="2"/>
        <v>182.39999999999998</v>
      </c>
      <c r="Q38" s="20">
        <v>500</v>
      </c>
      <c r="R38" s="2">
        <v>300</v>
      </c>
      <c r="S38" s="20">
        <v>300</v>
      </c>
      <c r="T38" s="20">
        <v>300</v>
      </c>
      <c r="U38" s="89">
        <f t="shared" si="1"/>
        <v>-0.4</v>
      </c>
    </row>
    <row r="39" spans="1:21" ht="12.75">
      <c r="A39" t="s">
        <v>192</v>
      </c>
      <c r="B39" s="4">
        <v>53.178</v>
      </c>
      <c r="C39" s="2">
        <v>309</v>
      </c>
      <c r="D39" s="2">
        <v>275</v>
      </c>
      <c r="E39" s="2">
        <v>161</v>
      </c>
      <c r="F39" s="2">
        <v>101</v>
      </c>
      <c r="G39" s="2">
        <v>63</v>
      </c>
      <c r="H39" s="2">
        <v>120</v>
      </c>
      <c r="I39" s="2">
        <v>153</v>
      </c>
      <c r="J39" s="2">
        <v>90</v>
      </c>
      <c r="K39" s="2">
        <v>261</v>
      </c>
      <c r="L39" s="2">
        <v>282</v>
      </c>
      <c r="M39" s="2">
        <v>71</v>
      </c>
      <c r="N39" s="2">
        <v>114</v>
      </c>
      <c r="O39" s="11">
        <v>240</v>
      </c>
      <c r="P39" s="2">
        <f t="shared" si="2"/>
        <v>288</v>
      </c>
      <c r="Q39" s="20">
        <v>200</v>
      </c>
      <c r="R39" s="2">
        <v>200</v>
      </c>
      <c r="S39" s="20">
        <v>200</v>
      </c>
      <c r="T39" s="20">
        <v>200</v>
      </c>
      <c r="U39" s="89">
        <f t="shared" si="1"/>
        <v>0</v>
      </c>
    </row>
    <row r="40" spans="1:21" ht="12.75">
      <c r="A40" t="s">
        <v>180</v>
      </c>
      <c r="B40" s="4">
        <v>53.179</v>
      </c>
      <c r="C40" s="2">
        <v>1159</v>
      </c>
      <c r="D40" s="2">
        <v>2017</v>
      </c>
      <c r="E40" s="2">
        <v>2122</v>
      </c>
      <c r="F40" s="2">
        <v>941</v>
      </c>
      <c r="G40" s="2">
        <v>1122</v>
      </c>
      <c r="H40" s="2">
        <v>1213</v>
      </c>
      <c r="I40" s="2">
        <v>2132</v>
      </c>
      <c r="J40" s="2">
        <v>3039</v>
      </c>
      <c r="K40" s="2">
        <v>2938</v>
      </c>
      <c r="L40" s="2">
        <v>3731</v>
      </c>
      <c r="M40" s="2">
        <v>2027</v>
      </c>
      <c r="N40" s="2">
        <v>1816</v>
      </c>
      <c r="O40" s="11">
        <v>2461</v>
      </c>
      <c r="P40" s="2">
        <f t="shared" si="2"/>
        <v>2953.2</v>
      </c>
      <c r="Q40" s="20">
        <v>2500</v>
      </c>
      <c r="R40" s="2">
        <v>2500</v>
      </c>
      <c r="S40" s="20">
        <v>2500</v>
      </c>
      <c r="T40" s="20">
        <v>2500</v>
      </c>
      <c r="U40" s="89">
        <f t="shared" si="1"/>
        <v>0</v>
      </c>
    </row>
    <row r="41" spans="1:21" ht="12.75">
      <c r="A41" t="s">
        <v>241</v>
      </c>
      <c r="B41" s="4">
        <v>53.18</v>
      </c>
      <c r="C41" s="2">
        <v>4</v>
      </c>
      <c r="D41" s="2"/>
      <c r="E41" s="2"/>
      <c r="F41" s="2"/>
      <c r="G41" s="2"/>
      <c r="H41" s="2"/>
      <c r="I41" s="2">
        <v>341</v>
      </c>
      <c r="J41" s="2">
        <v>323</v>
      </c>
      <c r="K41" s="2">
        <v>511</v>
      </c>
      <c r="L41" s="2">
        <v>1349</v>
      </c>
      <c r="M41" s="2">
        <v>864</v>
      </c>
      <c r="N41" s="2">
        <v>706</v>
      </c>
      <c r="O41" s="11">
        <v>1393</v>
      </c>
      <c r="P41" s="2">
        <f t="shared" si="2"/>
        <v>1671.6000000000001</v>
      </c>
      <c r="Q41" s="20">
        <v>1500</v>
      </c>
      <c r="R41" s="2">
        <v>1500</v>
      </c>
      <c r="S41" s="20">
        <v>1500</v>
      </c>
      <c r="T41" s="20">
        <v>1500</v>
      </c>
      <c r="U41" s="89"/>
    </row>
    <row r="42" spans="2:21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0"/>
      <c r="R42" s="2"/>
      <c r="S42" s="20"/>
      <c r="T42" s="20"/>
      <c r="U42" s="89"/>
    </row>
    <row r="43" spans="1:21" ht="12.75" hidden="1">
      <c r="A43" t="s">
        <v>260</v>
      </c>
      <c r="B43" s="4">
        <v>54.21</v>
      </c>
      <c r="C43" s="2"/>
      <c r="D43" s="2"/>
      <c r="E43" s="2"/>
      <c r="F43" s="2">
        <v>9620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0"/>
      <c r="R43" s="2"/>
      <c r="S43" s="20"/>
      <c r="T43" s="20"/>
      <c r="U43" s="51"/>
    </row>
    <row r="44" spans="1:21" ht="12.75" hidden="1">
      <c r="A44" t="s">
        <v>389</v>
      </c>
      <c r="B44" s="4">
        <v>54.12</v>
      </c>
      <c r="P44" s="2"/>
      <c r="Q44" s="37"/>
      <c r="R44" s="18"/>
      <c r="S44" s="37"/>
      <c r="T44" s="37"/>
      <c r="U44" s="51"/>
    </row>
    <row r="45" spans="1:21" ht="12.75">
      <c r="A45" t="s">
        <v>369</v>
      </c>
      <c r="B45" s="4">
        <v>54.22</v>
      </c>
      <c r="C45" s="2"/>
      <c r="D45" s="2"/>
      <c r="E45" s="2"/>
      <c r="F45" s="2">
        <v>12000</v>
      </c>
      <c r="G45" s="2"/>
      <c r="H45" s="2"/>
      <c r="I45" s="2"/>
      <c r="J45" s="2"/>
      <c r="K45" s="2"/>
      <c r="L45" s="2">
        <v>518</v>
      </c>
      <c r="M45" s="2"/>
      <c r="N45" s="2"/>
      <c r="O45" s="2"/>
      <c r="P45" s="2"/>
      <c r="Q45" s="20"/>
      <c r="R45" s="2"/>
      <c r="S45" s="20"/>
      <c r="T45" s="20"/>
      <c r="U45" s="51"/>
    </row>
    <row r="46" spans="1:21" ht="12.75" hidden="1">
      <c r="A46" t="s">
        <v>388</v>
      </c>
      <c r="B46" s="4">
        <v>54.25</v>
      </c>
      <c r="C46" s="2"/>
      <c r="D46" s="2"/>
      <c r="E46" s="2"/>
      <c r="F46" s="2">
        <v>1455</v>
      </c>
      <c r="G46" s="2">
        <v>1310</v>
      </c>
      <c r="H46" s="2"/>
      <c r="I46" s="2"/>
      <c r="J46" s="2"/>
      <c r="K46" s="2"/>
      <c r="L46" s="2"/>
      <c r="M46" s="2"/>
      <c r="N46" s="2"/>
      <c r="O46" s="2"/>
      <c r="P46" s="2"/>
      <c r="Q46" s="20"/>
      <c r="R46" s="2"/>
      <c r="S46" s="20"/>
      <c r="T46" s="20"/>
      <c r="U46" s="51"/>
    </row>
    <row r="47" spans="1:21" ht="12.75" hidden="1">
      <c r="A47" t="s">
        <v>362</v>
      </c>
      <c r="B47" s="4">
        <v>54.24</v>
      </c>
      <c r="C47" s="2"/>
      <c r="D47" s="2"/>
      <c r="E47" s="2"/>
      <c r="F47" s="2">
        <v>954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  <c r="S47" s="20"/>
      <c r="U47" s="51"/>
    </row>
    <row r="48" spans="2:21" ht="12.75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0"/>
      <c r="T48" s="20"/>
      <c r="U48" s="51"/>
    </row>
    <row r="49" spans="1:21" ht="12.75">
      <c r="A49" s="6" t="s">
        <v>119</v>
      </c>
      <c r="B49" s="6"/>
      <c r="C49" s="8">
        <f>SUM(C7:C43)</f>
        <v>196321</v>
      </c>
      <c r="D49" s="8">
        <f>SUM(D7:D43)</f>
        <v>210643</v>
      </c>
      <c r="E49" s="8">
        <f>SUM(E7:E48)</f>
        <v>234035</v>
      </c>
      <c r="F49" s="8">
        <f>SUM(F7:F48)</f>
        <v>268760</v>
      </c>
      <c r="G49" s="8">
        <f>SUM(G7:G48)</f>
        <v>245811</v>
      </c>
      <c r="H49" s="8">
        <f>SUM(H7:H48)</f>
        <v>281842</v>
      </c>
      <c r="I49" s="8">
        <f>SUM(I7:I48)</f>
        <v>288339</v>
      </c>
      <c r="J49" s="8">
        <v>310406</v>
      </c>
      <c r="K49" s="8">
        <f>SUM(K7:K48)</f>
        <v>310946</v>
      </c>
      <c r="L49" s="8">
        <v>344259</v>
      </c>
      <c r="M49" s="8">
        <v>331102</v>
      </c>
      <c r="N49" s="8">
        <v>288483</v>
      </c>
      <c r="O49" s="8">
        <f aca="true" t="shared" si="3" ref="O49:T49">SUM(O7:O48)</f>
        <v>263474</v>
      </c>
      <c r="P49" s="8">
        <f t="shared" si="3"/>
        <v>318413.4</v>
      </c>
      <c r="Q49" s="8">
        <f t="shared" si="3"/>
        <v>381376.3968</v>
      </c>
      <c r="R49" s="8">
        <f t="shared" si="3"/>
        <v>405902.67565275</v>
      </c>
      <c r="S49" s="8">
        <f t="shared" si="3"/>
        <v>405902.67565275</v>
      </c>
      <c r="T49" s="8">
        <f t="shared" si="3"/>
        <v>405749.36250000005</v>
      </c>
      <c r="U49" s="51">
        <f>(T49-Q49)/Q49</f>
        <v>0.06390790280810597</v>
      </c>
    </row>
    <row r="50" spans="3:20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</row>
    <row r="51" spans="3:20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2" t="s">
        <v>484</v>
      </c>
      <c r="R51" s="22"/>
      <c r="S51" s="55">
        <f>R49-S49</f>
        <v>0</v>
      </c>
      <c r="T51" s="2"/>
    </row>
    <row r="52" spans="17:19" ht="12.75">
      <c r="Q52" s="22" t="s">
        <v>725</v>
      </c>
      <c r="R52" s="22"/>
      <c r="S52" s="55">
        <f>Q49-S49</f>
        <v>-24526.278852750023</v>
      </c>
    </row>
    <row r="53" spans="17:19" ht="12.75">
      <c r="Q53" s="22" t="s">
        <v>432</v>
      </c>
      <c r="R53" s="22"/>
      <c r="S53" s="55">
        <f>S49-T49</f>
        <v>153.3131527499645</v>
      </c>
    </row>
    <row r="54" spans="17:19" ht="12.75">
      <c r="Q54" s="22"/>
      <c r="R54" s="22"/>
      <c r="S54" s="55"/>
    </row>
    <row r="55" ht="12.75">
      <c r="A55" s="22" t="s">
        <v>1053</v>
      </c>
    </row>
    <row r="56" ht="12.75">
      <c r="A56" t="s">
        <v>1054</v>
      </c>
    </row>
    <row r="57" ht="12.75">
      <c r="A57" t="s">
        <v>18</v>
      </c>
    </row>
    <row r="58" ht="12.75">
      <c r="A58" s="22" t="s">
        <v>1100</v>
      </c>
    </row>
    <row r="61" spans="17:21" ht="12.75">
      <c r="Q61" s="5"/>
      <c r="U61" s="2"/>
    </row>
    <row r="62" ht="12.75">
      <c r="U62" s="2"/>
    </row>
    <row r="65" ht="12.75">
      <c r="Q65" s="5"/>
    </row>
    <row r="66" ht="12.75">
      <c r="Q66" s="5"/>
    </row>
    <row r="68" ht="12.75">
      <c r="Q68" s="5"/>
    </row>
    <row r="70" ht="12.75">
      <c r="Q70" s="5"/>
    </row>
    <row r="71" ht="12.75">
      <c r="Q71" s="5"/>
    </row>
    <row r="72" ht="12.75">
      <c r="Q72" s="5"/>
    </row>
    <row r="76" ht="12.75">
      <c r="Q76" s="5"/>
    </row>
    <row r="77" ht="12.75">
      <c r="Q77" s="5"/>
    </row>
    <row r="78" ht="12.75">
      <c r="Q78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1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W74"/>
  <sheetViews>
    <sheetView zoomScale="75" zoomScaleNormal="75" workbookViewId="0" topLeftCell="A1">
      <selection activeCell="T14" sqref="T14:T2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11" width="11.7109375" style="0" hidden="1" customWidth="1"/>
    <col min="12" max="14" width="11.7109375" style="0" customWidth="1"/>
    <col min="15" max="15" width="7.8515625" style="0" bestFit="1" customWidth="1"/>
    <col min="16" max="16" width="7.57421875" style="0" bestFit="1" customWidth="1"/>
    <col min="17" max="17" width="8.7109375" style="0" customWidth="1"/>
    <col min="19" max="19" width="10.7109375" style="0" bestFit="1" customWidth="1"/>
    <col min="21" max="21" width="11.140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473</v>
      </c>
      <c r="O3" s="56">
        <v>10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674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2"/>
      <c r="T7" s="2"/>
      <c r="U7" s="51"/>
    </row>
    <row r="8" spans="1:21" ht="11.25" customHeight="1">
      <c r="A8" s="15" t="s">
        <v>278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 hidden="1">
      <c r="A9" s="15" t="s">
        <v>400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</row>
    <row r="10" spans="1:21" ht="0.75" customHeight="1" hidden="1">
      <c r="A10" s="15" t="s">
        <v>293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 hidden="1">
      <c r="A11" s="15" t="s">
        <v>266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1"/>
    </row>
    <row r="12" spans="1:21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51"/>
    </row>
    <row r="13" spans="1:21" ht="12.75">
      <c r="A13" s="15" t="s">
        <v>783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/>
      <c r="M13" s="2"/>
      <c r="N13" s="2"/>
      <c r="O13" s="2">
        <v>3898</v>
      </c>
      <c r="P13" s="2">
        <v>3900</v>
      </c>
      <c r="Q13" s="2"/>
      <c r="R13" s="2"/>
      <c r="S13" s="2"/>
      <c r="T13" s="2"/>
      <c r="U13" s="51"/>
    </row>
    <row r="14" spans="1:21" ht="12.75">
      <c r="A14" s="15" t="s">
        <v>279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>
        <v>5589</v>
      </c>
      <c r="M14" s="2">
        <v>227</v>
      </c>
      <c r="N14" s="2">
        <v>1848</v>
      </c>
      <c r="O14" s="176">
        <v>1333</v>
      </c>
      <c r="P14" s="2">
        <f aca="true" t="shared" si="0" ref="P14:P19">+O14/$O$3*12</f>
        <v>1599.6000000000001</v>
      </c>
      <c r="Q14" s="2">
        <v>1500</v>
      </c>
      <c r="R14" s="2">
        <v>1500</v>
      </c>
      <c r="S14" s="2">
        <v>1500</v>
      </c>
      <c r="T14" s="2">
        <v>1500</v>
      </c>
      <c r="U14" s="89"/>
    </row>
    <row r="15" spans="1:21" ht="12.75">
      <c r="A15" s="15" t="s">
        <v>280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2">
        <v>387</v>
      </c>
      <c r="N15" s="2">
        <v>72</v>
      </c>
      <c r="O15" s="18">
        <v>171</v>
      </c>
      <c r="P15" s="2">
        <f t="shared" si="0"/>
        <v>205.20000000000002</v>
      </c>
      <c r="Q15" s="2">
        <v>150</v>
      </c>
      <c r="R15" s="2">
        <v>150</v>
      </c>
      <c r="S15" s="2">
        <v>150</v>
      </c>
      <c r="T15" s="2">
        <v>150</v>
      </c>
      <c r="U15" s="89"/>
    </row>
    <row r="16" spans="1:21" ht="12.75">
      <c r="A16" s="15" t="s">
        <v>275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2">
        <v>23</v>
      </c>
      <c r="N16" s="2">
        <v>22</v>
      </c>
      <c r="O16" s="18">
        <v>185</v>
      </c>
      <c r="P16" s="2">
        <f t="shared" si="0"/>
        <v>222</v>
      </c>
      <c r="Q16" s="2">
        <v>50</v>
      </c>
      <c r="R16" s="2">
        <v>50</v>
      </c>
      <c r="S16" s="2">
        <v>50</v>
      </c>
      <c r="T16" s="2">
        <v>50</v>
      </c>
      <c r="U16" s="89">
        <f>(T16-Q16)/Q16</f>
        <v>0</v>
      </c>
    </row>
    <row r="17" spans="1:21" ht="11.25" customHeight="1">
      <c r="A17" s="15" t="s">
        <v>276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2">
        <v>177</v>
      </c>
      <c r="N17" s="2"/>
      <c r="O17" s="18"/>
      <c r="P17" s="2">
        <f t="shared" si="0"/>
        <v>0</v>
      </c>
      <c r="Q17" s="2"/>
      <c r="R17" s="2"/>
      <c r="S17" s="2"/>
      <c r="T17" s="2"/>
      <c r="U17" s="89"/>
    </row>
    <row r="18" spans="1:21" ht="12.75" hidden="1">
      <c r="A18" s="15" t="s">
        <v>192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18"/>
      <c r="P18" s="2">
        <f t="shared" si="0"/>
        <v>0</v>
      </c>
      <c r="Q18" s="2"/>
      <c r="R18" s="2"/>
      <c r="S18" s="2"/>
      <c r="T18" s="2"/>
      <c r="U18" s="89"/>
    </row>
    <row r="19" spans="1:21" ht="12.75">
      <c r="A19" s="15" t="s">
        <v>180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2">
        <v>919</v>
      </c>
      <c r="N19" s="2">
        <v>944</v>
      </c>
      <c r="O19" s="18">
        <v>1092</v>
      </c>
      <c r="P19" s="2">
        <f t="shared" si="0"/>
        <v>1310.4</v>
      </c>
      <c r="Q19" s="2">
        <v>1200</v>
      </c>
      <c r="R19" s="2">
        <v>1200</v>
      </c>
      <c r="S19" s="2">
        <v>1200</v>
      </c>
      <c r="T19" s="2">
        <v>1200</v>
      </c>
      <c r="U19" s="89">
        <f>(T19-Q19)/Q19</f>
        <v>0</v>
      </c>
    </row>
    <row r="20" spans="1:21" ht="12.75">
      <c r="A20" s="15" t="s">
        <v>293</v>
      </c>
      <c r="B20" s="4" t="s">
        <v>130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8"/>
      <c r="P20" s="2"/>
      <c r="Q20" s="2"/>
      <c r="R20" s="2"/>
      <c r="S20" s="2"/>
      <c r="T20" s="2"/>
      <c r="U20" s="89"/>
    </row>
    <row r="21" spans="1:23" ht="12.75">
      <c r="A21" s="15" t="s">
        <v>192</v>
      </c>
      <c r="K21">
        <v>54</v>
      </c>
      <c r="N21">
        <v>70</v>
      </c>
      <c r="O21" s="18"/>
      <c r="U21" s="89"/>
      <c r="W21" t="s">
        <v>649</v>
      </c>
    </row>
    <row r="22" spans="1:22" ht="12.75">
      <c r="A22" t="s">
        <v>281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2">
        <v>73288</v>
      </c>
      <c r="N22" s="2">
        <v>73288</v>
      </c>
      <c r="O22" s="18">
        <v>54928</v>
      </c>
      <c r="P22" s="2">
        <v>73588</v>
      </c>
      <c r="Q22" s="2">
        <v>73288</v>
      </c>
      <c r="R22" s="2">
        <v>118290</v>
      </c>
      <c r="S22" s="2">
        <v>73288</v>
      </c>
      <c r="T22" s="2">
        <v>73288</v>
      </c>
      <c r="U22" s="89">
        <f>(T22-Q22)/Q22</f>
        <v>0</v>
      </c>
      <c r="V22" s="6" t="s">
        <v>372</v>
      </c>
    </row>
    <row r="23" spans="2:21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8"/>
      <c r="P23" s="2"/>
      <c r="Q23" s="2"/>
      <c r="R23" s="2"/>
      <c r="S23" s="2"/>
      <c r="T23" s="2"/>
      <c r="U23" s="89"/>
    </row>
    <row r="24" spans="1:22" ht="12.75">
      <c r="A24" t="s">
        <v>1046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2">
        <v>4178</v>
      </c>
      <c r="N24" s="2"/>
      <c r="O24" s="176"/>
      <c r="P24" s="2"/>
      <c r="Q24" s="2"/>
      <c r="R24" s="2">
        <v>5570</v>
      </c>
      <c r="S24" s="2"/>
      <c r="T24" s="2"/>
      <c r="U24" s="89" t="e">
        <f>(T24-Q24)/Q24</f>
        <v>#DIV/0!</v>
      </c>
      <c r="V24" s="6"/>
    </row>
    <row r="25" spans="2:21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1"/>
    </row>
    <row r="26" spans="1:21" ht="12.75">
      <c r="A26" s="6" t="s">
        <v>119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T26">SUM(K8:K25)</f>
        <v>81652</v>
      </c>
      <c r="L26" s="8">
        <v>85599</v>
      </c>
      <c r="M26" s="8">
        <v>79199</v>
      </c>
      <c r="N26" s="8">
        <v>76244</v>
      </c>
      <c r="O26" s="8">
        <f t="shared" si="2"/>
        <v>61607</v>
      </c>
      <c r="P26" s="8">
        <f t="shared" si="2"/>
        <v>80825.2</v>
      </c>
      <c r="Q26" s="8">
        <f t="shared" si="2"/>
        <v>76188</v>
      </c>
      <c r="R26" s="8">
        <f t="shared" si="2"/>
        <v>126760</v>
      </c>
      <c r="S26" s="8">
        <f t="shared" si="2"/>
        <v>76188</v>
      </c>
      <c r="T26" s="8">
        <f t="shared" si="2"/>
        <v>76188</v>
      </c>
      <c r="U26" s="52">
        <f>(T26-Q26)/Q26</f>
        <v>0</v>
      </c>
    </row>
    <row r="27" spans="3:2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51"/>
    </row>
    <row r="28" spans="3:2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2" t="s">
        <v>484</v>
      </c>
      <c r="R28" s="22"/>
      <c r="S28" s="55">
        <f>R26-S26</f>
        <v>50572</v>
      </c>
      <c r="T28" s="2"/>
      <c r="U28" s="150">
        <f>T22-S22</f>
        <v>0</v>
      </c>
    </row>
    <row r="29" spans="1:21" ht="12.75">
      <c r="A29" s="6" t="s">
        <v>1088</v>
      </c>
      <c r="Q29" s="22" t="s">
        <v>725</v>
      </c>
      <c r="R29" s="22"/>
      <c r="S29" s="55">
        <f>Q26-S26</f>
        <v>0</v>
      </c>
      <c r="U29" s="51"/>
    </row>
    <row r="30" spans="1:21" ht="12.75">
      <c r="A30" s="6" t="s">
        <v>1044</v>
      </c>
      <c r="Q30" s="22" t="s">
        <v>432</v>
      </c>
      <c r="R30" s="22"/>
      <c r="S30" s="55">
        <f>S26-T26</f>
        <v>0</v>
      </c>
      <c r="U30" s="51"/>
    </row>
    <row r="31" spans="1:21" ht="12.75">
      <c r="A31" s="6" t="s">
        <v>1045</v>
      </c>
      <c r="U31" s="51"/>
    </row>
    <row r="32" ht="12.75">
      <c r="U32" s="51"/>
    </row>
    <row r="33" ht="12.75">
      <c r="U33" s="51"/>
    </row>
    <row r="34" ht="12.75">
      <c r="U34" s="51"/>
    </row>
    <row r="35" spans="1:21" ht="12.75">
      <c r="A35" s="6"/>
      <c r="O35" s="11"/>
      <c r="P35" s="5"/>
      <c r="U35" s="51"/>
    </row>
    <row r="36" spans="15:21" ht="12.75">
      <c r="O36" s="11"/>
      <c r="U36" s="51"/>
    </row>
    <row r="37" spans="5:21" ht="12.75">
      <c r="E37" s="77">
        <f>24228-2423</f>
        <v>21805</v>
      </c>
      <c r="O37" s="11"/>
      <c r="U37" s="51"/>
    </row>
    <row r="38" spans="5:21" ht="12.75">
      <c r="E38" s="77">
        <f>E37-((1800-500)*12)</f>
        <v>6205</v>
      </c>
      <c r="O38" s="11"/>
      <c r="U38" s="51"/>
    </row>
    <row r="39" spans="15:21" ht="12.75">
      <c r="O39" s="11"/>
      <c r="P39" s="5"/>
      <c r="U39" s="51"/>
    </row>
    <row r="40" spans="1:21" ht="12.75">
      <c r="A40" s="6"/>
      <c r="O40" s="11"/>
      <c r="P40" s="5"/>
      <c r="U40" s="51"/>
    </row>
    <row r="41" spans="15:21" ht="12.75">
      <c r="O41" s="11"/>
      <c r="P41" s="5"/>
      <c r="U41" s="51"/>
    </row>
    <row r="42" spans="15:21" ht="12.75">
      <c r="O42" s="11"/>
      <c r="P42" s="5"/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69" ht="12.75">
      <c r="U69" s="2"/>
    </row>
    <row r="70" ht="12.75">
      <c r="U70" s="2"/>
    </row>
    <row r="71" ht="12.75">
      <c r="U71" s="2"/>
    </row>
    <row r="72" ht="12.75">
      <c r="U72" s="2"/>
    </row>
    <row r="73" ht="12.75">
      <c r="U73" s="2"/>
    </row>
    <row r="74" ht="12.75">
      <c r="U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V70"/>
  <sheetViews>
    <sheetView zoomScale="75" zoomScaleNormal="75" workbookViewId="0" topLeftCell="A1">
      <selection activeCell="T17" sqref="T17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11" width="11.7109375" style="0" hidden="1" customWidth="1"/>
    <col min="12" max="15" width="11.7109375" style="0" customWidth="1"/>
    <col min="16" max="16" width="13.421875" style="0" bestFit="1" customWidth="1"/>
    <col min="17" max="17" width="10.28125" style="0" customWidth="1"/>
    <col min="18" max="18" width="9.00390625" style="0" customWidth="1"/>
    <col min="19" max="19" width="9.421875" style="0" bestFit="1" customWidth="1"/>
    <col min="20" max="20" width="8.71093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474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94" t="s">
        <v>525</v>
      </c>
      <c r="S4" s="94" t="s">
        <v>427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94" t="s">
        <v>539</v>
      </c>
      <c r="S5" s="94" t="s">
        <v>657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675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M7" s="2">
        <v>300</v>
      </c>
      <c r="N7" s="2"/>
      <c r="P7" s="2">
        <f aca="true" t="shared" si="0" ref="P7:P13">+O7/$O$3*12</f>
        <v>0</v>
      </c>
      <c r="Q7" s="2"/>
      <c r="R7" s="2"/>
      <c r="S7" s="2"/>
      <c r="T7" s="2"/>
      <c r="U7" s="89" t="e">
        <f>(T7-Q7)/Q7</f>
        <v>#DIV/0!</v>
      </c>
    </row>
    <row r="8" spans="1:22" ht="12.75">
      <c r="A8" t="s">
        <v>604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/>
      <c r="O8" s="2"/>
      <c r="P8" s="2"/>
      <c r="Q8" s="2"/>
      <c r="R8" s="2"/>
      <c r="S8" s="2"/>
      <c r="T8" s="2"/>
      <c r="U8" s="89" t="e">
        <f>(T8-Q8)/Q8</f>
        <v>#DIV/0!</v>
      </c>
      <c r="V8" t="s">
        <v>372</v>
      </c>
    </row>
    <row r="9" spans="1:21" ht="12.75" hidden="1">
      <c r="A9" t="s">
        <v>283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/>
      <c r="O9" s="2"/>
      <c r="P9" s="2">
        <f t="shared" si="0"/>
        <v>0</v>
      </c>
      <c r="Q9" s="2"/>
      <c r="R9" s="2"/>
      <c r="S9" s="2"/>
      <c r="T9" s="2"/>
      <c r="U9" s="89"/>
    </row>
    <row r="10" spans="1:21" ht="12.75" hidden="1">
      <c r="A10" t="s">
        <v>266</v>
      </c>
      <c r="B10" s="4">
        <v>52.2206</v>
      </c>
      <c r="I10">
        <v>10</v>
      </c>
      <c r="J10">
        <v>40</v>
      </c>
      <c r="K10">
        <v>350</v>
      </c>
      <c r="P10" s="2">
        <f t="shared" si="0"/>
        <v>0</v>
      </c>
      <c r="U10" s="90"/>
    </row>
    <row r="11" spans="1:22" ht="12.75">
      <c r="A11" t="s">
        <v>375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/>
      <c r="O11" s="2"/>
      <c r="P11" s="2">
        <f t="shared" si="0"/>
        <v>0</v>
      </c>
      <c r="Q11" s="2"/>
      <c r="R11" s="2"/>
      <c r="S11" s="2"/>
      <c r="T11" s="2"/>
      <c r="U11" s="89" t="e">
        <f>(T11-Q11)/Q11</f>
        <v>#DIV/0!</v>
      </c>
      <c r="V11" t="s">
        <v>372</v>
      </c>
    </row>
    <row r="12" spans="1:22" ht="12.75">
      <c r="A12" t="s">
        <v>401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/>
      <c r="O12" s="2"/>
      <c r="P12" s="2">
        <f t="shared" si="0"/>
        <v>0</v>
      </c>
      <c r="Q12" s="2"/>
      <c r="R12" s="2"/>
      <c r="S12" s="2"/>
      <c r="T12" s="2"/>
      <c r="U12" s="89" t="e">
        <f>(T12-Q12)/Q12</f>
        <v>#DIV/0!</v>
      </c>
      <c r="V12" t="s">
        <v>372</v>
      </c>
    </row>
    <row r="13" spans="1:21" ht="12.75">
      <c r="A13" t="s">
        <v>658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/>
      <c r="O13" s="2"/>
      <c r="P13" s="2">
        <f t="shared" si="0"/>
        <v>0</v>
      </c>
      <c r="U13" s="89"/>
    </row>
    <row r="14" spans="1:21" ht="12.75" hidden="1">
      <c r="A14" t="s">
        <v>192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/>
      <c r="O14" s="2"/>
      <c r="P14" s="2">
        <f>+O14/$O$3*12</f>
        <v>0</v>
      </c>
      <c r="Q14" s="2"/>
      <c r="R14" s="2"/>
      <c r="S14" s="2"/>
      <c r="T14" s="2"/>
      <c r="U14" s="89"/>
    </row>
    <row r="15" spans="1:22" ht="12.75">
      <c r="A15" t="s">
        <v>180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/>
      <c r="O15" s="2"/>
      <c r="P15" s="2">
        <f>+O15/$O$3*12</f>
        <v>0</v>
      </c>
      <c r="Q15" s="2"/>
      <c r="R15" s="2"/>
      <c r="S15" s="2"/>
      <c r="T15" s="2"/>
      <c r="U15" s="89" t="e">
        <f>(T15-Q15)/Q15</f>
        <v>#DIV/0!</v>
      </c>
      <c r="V15" t="s">
        <v>372</v>
      </c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1:22" ht="12.75">
      <c r="A17" t="s">
        <v>282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40000</v>
      </c>
      <c r="O17" s="2">
        <v>25500</v>
      </c>
      <c r="P17" s="2">
        <v>34000</v>
      </c>
      <c r="Q17" s="2">
        <v>34000</v>
      </c>
      <c r="R17" s="2">
        <v>41879</v>
      </c>
      <c r="S17" s="2">
        <v>34000</v>
      </c>
      <c r="T17" s="2">
        <v>34000</v>
      </c>
      <c r="U17" s="89">
        <f>(T17-Q17)/Q17</f>
        <v>0</v>
      </c>
      <c r="V17" s="6"/>
    </row>
    <row r="18" spans="1:21" ht="12.75" hidden="1">
      <c r="A18" t="s">
        <v>624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1"/>
    </row>
    <row r="19" spans="1:21" ht="12.75">
      <c r="A19" t="s">
        <v>910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2"/>
      <c r="T19" s="2"/>
      <c r="U19" s="51"/>
    </row>
    <row r="20" spans="1:22" ht="12.75" hidden="1">
      <c r="A20" t="s">
        <v>909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1"/>
      <c r="V20" t="s">
        <v>510</v>
      </c>
    </row>
    <row r="21" spans="1:21" ht="12.75" hidden="1">
      <c r="A21" t="s">
        <v>716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51"/>
    </row>
    <row r="22" spans="2:21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1"/>
    </row>
    <row r="23" spans="1:21" ht="12.75">
      <c r="A23" s="6" t="s">
        <v>119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T23">SUM(K7:K22)</f>
        <v>146685</v>
      </c>
      <c r="L23" s="8">
        <v>134451</v>
      </c>
      <c r="M23" s="8">
        <v>58188</v>
      </c>
      <c r="N23" s="8">
        <v>40000</v>
      </c>
      <c r="O23" s="8">
        <f t="shared" si="1"/>
        <v>25500</v>
      </c>
      <c r="P23" s="8">
        <f t="shared" si="1"/>
        <v>34000</v>
      </c>
      <c r="Q23" s="8">
        <f t="shared" si="1"/>
        <v>34000</v>
      </c>
      <c r="R23" s="8">
        <f t="shared" si="1"/>
        <v>41879</v>
      </c>
      <c r="S23" s="8">
        <f t="shared" si="1"/>
        <v>34000</v>
      </c>
      <c r="T23" s="8">
        <f t="shared" si="1"/>
        <v>34000</v>
      </c>
      <c r="U23" s="52">
        <f>(T23-Q23)/Q23</f>
        <v>0</v>
      </c>
    </row>
    <row r="24" spans="3:2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51"/>
    </row>
    <row r="25" spans="3:2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 t="s">
        <v>484</v>
      </c>
      <c r="R25" s="22"/>
      <c r="S25" s="55">
        <f>R23-S23</f>
        <v>7879</v>
      </c>
      <c r="T25" s="2"/>
      <c r="U25" s="51"/>
    </row>
    <row r="26" spans="14:21" ht="12.75">
      <c r="N26" s="195"/>
      <c r="Q26" s="22" t="s">
        <v>725</v>
      </c>
      <c r="R26" s="22"/>
      <c r="S26" s="55">
        <f>Q23-S23</f>
        <v>0</v>
      </c>
      <c r="U26" s="51"/>
    </row>
    <row r="27" spans="17:21" ht="12.75">
      <c r="Q27" s="22" t="s">
        <v>432</v>
      </c>
      <c r="R27" s="22"/>
      <c r="S27" s="55">
        <f>S23-T23</f>
        <v>0</v>
      </c>
      <c r="U27" s="51"/>
    </row>
    <row r="28" spans="1:21" ht="12.75">
      <c r="A28" t="s">
        <v>676</v>
      </c>
      <c r="B28">
        <v>33.4119</v>
      </c>
      <c r="I28">
        <v>32860</v>
      </c>
      <c r="J28" s="42">
        <v>44323.5</v>
      </c>
      <c r="K28" s="42">
        <v>53607</v>
      </c>
      <c r="L28" s="42">
        <v>38248</v>
      </c>
      <c r="M28" s="42"/>
      <c r="N28" s="42"/>
      <c r="U28" s="51"/>
    </row>
    <row r="29" ht="12.75">
      <c r="U29" s="51"/>
    </row>
    <row r="30" spans="1:21" ht="12.75">
      <c r="A30" s="22" t="s">
        <v>69</v>
      </c>
      <c r="U30" s="51"/>
    </row>
    <row r="31" spans="1:21" ht="12.75">
      <c r="A31" s="33" t="s">
        <v>920</v>
      </c>
      <c r="P31" s="4"/>
      <c r="Q31" s="157"/>
      <c r="U31" s="51"/>
    </row>
    <row r="32" ht="12.75">
      <c r="U32" s="51"/>
    </row>
    <row r="33" spans="1:21" ht="12.75">
      <c r="A33" s="6"/>
      <c r="U33" s="51"/>
    </row>
    <row r="34" ht="12.75">
      <c r="U34" s="51"/>
    </row>
    <row r="35" ht="12.75">
      <c r="U35" s="51"/>
    </row>
    <row r="36" spans="16:21" ht="12.75">
      <c r="P36" s="5"/>
      <c r="Q36" s="5"/>
      <c r="U36" s="51"/>
    </row>
    <row r="37" ht="12.75">
      <c r="U37" s="51"/>
    </row>
    <row r="38" ht="12.75">
      <c r="U38" s="51"/>
    </row>
    <row r="39" spans="17:21" ht="12.75">
      <c r="Q39" s="5"/>
      <c r="U39" s="51"/>
    </row>
    <row r="40" spans="16:21" ht="12.75">
      <c r="P40" s="5"/>
      <c r="Q40" s="5"/>
      <c r="U40" s="51"/>
    </row>
    <row r="41" spans="16:21" ht="12.75">
      <c r="P41" s="5"/>
      <c r="Q41" s="5"/>
      <c r="U41" s="51"/>
    </row>
    <row r="42" spans="16:21" ht="12.75">
      <c r="P42" s="5"/>
      <c r="Q42" s="5"/>
      <c r="U42" s="51"/>
    </row>
    <row r="43" ht="12.75">
      <c r="U43" s="51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X89"/>
  <sheetViews>
    <sheetView zoomScale="75" zoomScaleNormal="75" workbookViewId="0" topLeftCell="A1">
      <selection activeCell="T7" sqref="T7:T38"/>
    </sheetView>
  </sheetViews>
  <sheetFormatPr defaultColWidth="9.140625" defaultRowHeight="12.75"/>
  <cols>
    <col min="1" max="1" width="34.00390625" style="0" customWidth="1"/>
    <col min="2" max="2" width="10.8515625" style="0" bestFit="1" customWidth="1"/>
    <col min="3" max="6" width="11.7109375" style="0" hidden="1" customWidth="1"/>
    <col min="7" max="8" width="8.00390625" style="0" hidden="1" customWidth="1"/>
    <col min="9" max="9" width="6.8515625" style="0" hidden="1" customWidth="1"/>
    <col min="10" max="10" width="8.00390625" style="0" hidden="1" customWidth="1"/>
    <col min="11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7109375" style="0" bestFit="1" customWidth="1"/>
    <col min="21" max="21" width="9.421875" style="0" bestFit="1" customWidth="1"/>
    <col min="22" max="22" width="6.8515625" style="0" bestFit="1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475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46921</v>
      </c>
      <c r="N7" s="2">
        <v>31070</v>
      </c>
      <c r="O7" s="2">
        <v>24340</v>
      </c>
      <c r="P7" s="2">
        <f aca="true" t="shared" si="0" ref="P7:P13">+O7/$O$3*12</f>
        <v>29208</v>
      </c>
      <c r="Q7" s="163">
        <v>34944</v>
      </c>
      <c r="R7" s="2">
        <v>30221.9</v>
      </c>
      <c r="S7" s="163">
        <v>30222</v>
      </c>
      <c r="T7" s="163">
        <v>30222</v>
      </c>
      <c r="U7" s="89">
        <f>(T7-Q7)/Q7</f>
        <v>-0.1351304945054945</v>
      </c>
      <c r="V7" t="s">
        <v>24</v>
      </c>
    </row>
    <row r="8" spans="1:22" ht="12.75">
      <c r="A8" t="s">
        <v>96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14340</v>
      </c>
      <c r="O8" s="2">
        <v>10382</v>
      </c>
      <c r="P8" s="2">
        <f t="shared" si="0"/>
        <v>12458.400000000001</v>
      </c>
      <c r="Q8" s="2">
        <v>14758</v>
      </c>
      <c r="R8" s="2">
        <v>15126.95</v>
      </c>
      <c r="S8" s="2">
        <f>14758*1.025</f>
        <v>15126.949999999999</v>
      </c>
      <c r="T8" s="2">
        <v>15126.95</v>
      </c>
      <c r="U8" s="89"/>
      <c r="V8" t="s">
        <v>21</v>
      </c>
    </row>
    <row r="9" spans="1:21" ht="12.75">
      <c r="A9" t="s">
        <v>1089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2047</v>
      </c>
      <c r="P9" s="2"/>
      <c r="Q9" s="2"/>
      <c r="R9" s="2"/>
      <c r="S9" s="2"/>
      <c r="T9" s="2"/>
      <c r="U9" s="89"/>
    </row>
    <row r="10" spans="1:22" ht="12.75">
      <c r="A10" t="s">
        <v>957</v>
      </c>
      <c r="B10" s="4">
        <v>51.12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7772</v>
      </c>
      <c r="O10" s="2">
        <v>7823</v>
      </c>
      <c r="P10" s="2">
        <f t="shared" si="0"/>
        <v>9387.599999999999</v>
      </c>
      <c r="Q10" s="2">
        <f>740*12</f>
        <v>8880</v>
      </c>
      <c r="R10" s="2">
        <v>8880</v>
      </c>
      <c r="S10" s="2">
        <v>8880</v>
      </c>
      <c r="T10" s="2">
        <v>8880</v>
      </c>
      <c r="U10" s="89"/>
      <c r="V10" t="s">
        <v>579</v>
      </c>
    </row>
    <row r="11" spans="1:22" ht="12.75">
      <c r="A11" t="s">
        <v>490</v>
      </c>
      <c r="B11" s="4">
        <v>51.21</v>
      </c>
      <c r="C11" s="2">
        <v>2184</v>
      </c>
      <c r="D11" s="2">
        <v>2518</v>
      </c>
      <c r="E11" s="2">
        <v>3182</v>
      </c>
      <c r="F11" s="2">
        <v>2840</v>
      </c>
      <c r="G11" s="2">
        <v>3023</v>
      </c>
      <c r="H11" s="2">
        <v>3161</v>
      </c>
      <c r="I11" s="2">
        <v>3184</v>
      </c>
      <c r="J11" s="2">
        <v>3398</v>
      </c>
      <c r="K11" s="2">
        <v>4011</v>
      </c>
      <c r="L11" s="2">
        <v>4690</v>
      </c>
      <c r="M11" s="2">
        <v>4555</v>
      </c>
      <c r="N11" s="2">
        <v>7563</v>
      </c>
      <c r="O11" s="2">
        <v>4752</v>
      </c>
      <c r="P11" s="2">
        <f t="shared" si="0"/>
        <v>5702.4</v>
      </c>
      <c r="Q11" s="31">
        <v>5698</v>
      </c>
      <c r="R11" s="31">
        <v>5351</v>
      </c>
      <c r="S11" s="31">
        <v>5351</v>
      </c>
      <c r="T11" s="31">
        <v>5351</v>
      </c>
      <c r="U11" s="89">
        <f>(T11-Q11)/Q11</f>
        <v>-0.0608985608985609</v>
      </c>
      <c r="V11" t="s">
        <v>510</v>
      </c>
    </row>
    <row r="12" spans="1:21" ht="12.75">
      <c r="A12" t="s">
        <v>141</v>
      </c>
      <c r="B12" s="4">
        <v>51.22</v>
      </c>
      <c r="C12" s="2">
        <v>2711</v>
      </c>
      <c r="D12" s="2">
        <v>3092</v>
      </c>
      <c r="E12" s="2">
        <v>3255</v>
      </c>
      <c r="F12" s="2">
        <v>3436</v>
      </c>
      <c r="G12" s="2">
        <v>3483</v>
      </c>
      <c r="H12" s="2">
        <v>3564</v>
      </c>
      <c r="I12" s="2">
        <v>3630</v>
      </c>
      <c r="J12" s="2">
        <v>3878</v>
      </c>
      <c r="K12" s="2">
        <v>4369</v>
      </c>
      <c r="L12" s="2">
        <v>4142</v>
      </c>
      <c r="M12" s="2">
        <v>3701</v>
      </c>
      <c r="N12" s="2">
        <v>3973</v>
      </c>
      <c r="O12" s="2">
        <v>3325</v>
      </c>
      <c r="P12" s="2">
        <f t="shared" si="0"/>
        <v>3990</v>
      </c>
      <c r="Q12" s="2">
        <f>(Q7+Q8+Q10)*0.0765</f>
        <v>4481.523</v>
      </c>
      <c r="R12" s="2">
        <f>(R7+R8+R10)*0.0765</f>
        <v>4148.507025000001</v>
      </c>
      <c r="S12" s="2">
        <f>(S7+S8+S10)*0.0765</f>
        <v>4148.514674999999</v>
      </c>
      <c r="T12" s="2">
        <v>4148.514674999999</v>
      </c>
      <c r="U12" s="89">
        <f>(T12-Q12)/Q12</f>
        <v>-0.07430695435458005</v>
      </c>
    </row>
    <row r="13" spans="1:21" ht="12.75">
      <c r="A13" t="s">
        <v>155</v>
      </c>
      <c r="B13" s="4">
        <v>51.24</v>
      </c>
      <c r="C13" s="2">
        <v>740</v>
      </c>
      <c r="D13" s="2">
        <v>839</v>
      </c>
      <c r="E13" s="2">
        <v>889</v>
      </c>
      <c r="F13" s="2">
        <v>920</v>
      </c>
      <c r="G13" s="2">
        <v>948</v>
      </c>
      <c r="H13" s="2">
        <v>976</v>
      </c>
      <c r="I13" s="2">
        <v>1360</v>
      </c>
      <c r="J13" s="2">
        <v>1072</v>
      </c>
      <c r="K13" s="2">
        <v>1158</v>
      </c>
      <c r="L13" s="2">
        <v>1215</v>
      </c>
      <c r="M13" s="2">
        <v>415</v>
      </c>
      <c r="N13" s="2"/>
      <c r="O13" s="2"/>
      <c r="P13" s="2">
        <f t="shared" si="0"/>
        <v>0</v>
      </c>
      <c r="Q13" s="20"/>
      <c r="R13" s="2"/>
      <c r="S13" s="20"/>
      <c r="T13" s="20"/>
      <c r="U13" s="89"/>
    </row>
    <row r="14" spans="1:21" ht="12.75">
      <c r="A14" t="s">
        <v>698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8580</v>
      </c>
      <c r="O14" s="2"/>
      <c r="P14" s="2"/>
      <c r="Q14" s="20"/>
      <c r="R14" s="2"/>
      <c r="S14" s="20"/>
      <c r="T14" s="20"/>
      <c r="U14" s="89"/>
    </row>
    <row r="15" spans="1:21" ht="12.75">
      <c r="A15" t="s">
        <v>1020</v>
      </c>
      <c r="B15" s="4">
        <v>51.27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863</v>
      </c>
      <c r="P15" s="2">
        <v>830</v>
      </c>
      <c r="Q15" s="2"/>
      <c r="R15" s="2">
        <v>1000</v>
      </c>
      <c r="S15" s="2">
        <v>1000</v>
      </c>
      <c r="T15" s="2">
        <v>1000</v>
      </c>
      <c r="U15" s="89"/>
    </row>
    <row r="16" spans="2:21" ht="12.75">
      <c r="B16" s="4"/>
      <c r="C16" s="2"/>
      <c r="D16" s="2"/>
      <c r="E16" s="2"/>
      <c r="F16" s="2"/>
      <c r="G16" s="2"/>
      <c r="H16" s="2"/>
      <c r="I16" s="2">
        <v>25</v>
      </c>
      <c r="J16" s="2"/>
      <c r="K16" s="2"/>
      <c r="L16" s="2"/>
      <c r="M16" s="2"/>
      <c r="N16" s="2"/>
      <c r="O16" s="2"/>
      <c r="P16" s="2"/>
      <c r="Q16" s="13"/>
      <c r="R16" s="2"/>
      <c r="S16" s="13"/>
      <c r="T16" s="13"/>
      <c r="U16" s="89"/>
    </row>
    <row r="17" spans="1:21" ht="12.75" hidden="1">
      <c r="A17" t="s">
        <v>397</v>
      </c>
      <c r="B17" s="4">
        <v>52.21</v>
      </c>
      <c r="C17" s="2"/>
      <c r="D17" s="2"/>
      <c r="E17" s="2"/>
      <c r="F17" s="2">
        <v>201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0"/>
      <c r="R17" s="2"/>
      <c r="S17" s="20"/>
      <c r="T17" s="20"/>
      <c r="U17" s="89"/>
    </row>
    <row r="18" spans="1:22" ht="12.75">
      <c r="A18" t="s">
        <v>197</v>
      </c>
      <c r="B18" s="4">
        <v>52.211</v>
      </c>
      <c r="C18" s="2"/>
      <c r="D18" s="2"/>
      <c r="E18" s="2">
        <v>694</v>
      </c>
      <c r="F18" s="2">
        <v>202</v>
      </c>
      <c r="G18" s="2">
        <v>339</v>
      </c>
      <c r="H18" s="2">
        <v>366</v>
      </c>
      <c r="I18" s="2">
        <f>376+34</f>
        <v>410</v>
      </c>
      <c r="J18" s="2">
        <v>403</v>
      </c>
      <c r="K18" s="2">
        <v>463</v>
      </c>
      <c r="L18" s="2">
        <v>472</v>
      </c>
      <c r="M18" s="2">
        <v>490</v>
      </c>
      <c r="N18" s="2">
        <v>437</v>
      </c>
      <c r="O18" s="2">
        <v>357</v>
      </c>
      <c r="P18" s="2">
        <f>+O18/$O$3*12</f>
        <v>428.40000000000003</v>
      </c>
      <c r="Q18" s="2">
        <v>480</v>
      </c>
      <c r="R18" s="2">
        <v>480</v>
      </c>
      <c r="S18" s="2">
        <v>480</v>
      </c>
      <c r="T18" s="2">
        <v>480</v>
      </c>
      <c r="U18" s="89">
        <f>(T18-Q18)/Q18</f>
        <v>0</v>
      </c>
      <c r="V18" s="15"/>
    </row>
    <row r="19" spans="1:21" ht="12.75" hidden="1">
      <c r="A19" t="s">
        <v>285</v>
      </c>
      <c r="B19" s="4">
        <v>52.2201</v>
      </c>
      <c r="C19" s="2"/>
      <c r="D19" s="2"/>
      <c r="E19" s="2">
        <v>180</v>
      </c>
      <c r="F19" s="2">
        <v>195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1:22" ht="12.75">
      <c r="A20" t="s">
        <v>143</v>
      </c>
      <c r="B20" s="4">
        <v>52.32</v>
      </c>
      <c r="C20" s="2">
        <v>222</v>
      </c>
      <c r="D20" s="2">
        <v>333</v>
      </c>
      <c r="E20" s="2">
        <v>464</v>
      </c>
      <c r="F20" s="2">
        <v>910</v>
      </c>
      <c r="G20" s="2">
        <v>931</v>
      </c>
      <c r="H20" s="2">
        <v>622</v>
      </c>
      <c r="I20" s="2">
        <v>770</v>
      </c>
      <c r="J20" s="2">
        <v>699</v>
      </c>
      <c r="K20" s="2">
        <v>732</v>
      </c>
      <c r="L20" s="2">
        <v>864</v>
      </c>
      <c r="M20" s="2">
        <v>684</v>
      </c>
      <c r="N20" s="2">
        <v>1377</v>
      </c>
      <c r="O20" s="2">
        <v>780</v>
      </c>
      <c r="P20" s="2">
        <f>+O20/$O$3*12</f>
        <v>936</v>
      </c>
      <c r="Q20" s="2">
        <v>1600</v>
      </c>
      <c r="R20" s="2">
        <v>1600</v>
      </c>
      <c r="S20" s="2">
        <v>1600</v>
      </c>
      <c r="T20" s="2">
        <v>1600</v>
      </c>
      <c r="U20" s="89">
        <f>(T20-Q20)/Q20</f>
        <v>0</v>
      </c>
      <c r="V20" s="33"/>
    </row>
    <row r="21" spans="1:21" ht="12.75">
      <c r="A21" t="s">
        <v>144</v>
      </c>
      <c r="B21" s="4">
        <v>52.321</v>
      </c>
      <c r="C21" s="2">
        <v>81</v>
      </c>
      <c r="D21" s="2">
        <v>45</v>
      </c>
      <c r="E21" s="2">
        <v>68</v>
      </c>
      <c r="F21" s="2">
        <v>68</v>
      </c>
      <c r="G21" s="2">
        <v>105</v>
      </c>
      <c r="H21" s="2">
        <v>37</v>
      </c>
      <c r="I21" s="2">
        <v>37</v>
      </c>
      <c r="J21" s="2"/>
      <c r="K21" s="2"/>
      <c r="L21" s="2">
        <v>42</v>
      </c>
      <c r="M21" s="2"/>
      <c r="N21" s="2">
        <v>112</v>
      </c>
      <c r="O21" s="2"/>
      <c r="P21" s="2">
        <v>100</v>
      </c>
      <c r="Q21" s="2">
        <v>100</v>
      </c>
      <c r="R21" s="2">
        <v>100</v>
      </c>
      <c r="S21" s="2">
        <v>100</v>
      </c>
      <c r="T21" s="2">
        <v>100</v>
      </c>
      <c r="U21" s="89">
        <f>(T21-Q21)/Q21</f>
        <v>0</v>
      </c>
    </row>
    <row r="22" spans="1:22" ht="12.75">
      <c r="A22" t="s">
        <v>145</v>
      </c>
      <c r="B22" s="4">
        <v>52.35</v>
      </c>
      <c r="C22" s="2">
        <v>603</v>
      </c>
      <c r="D22" s="2">
        <v>961</v>
      </c>
      <c r="E22" s="2">
        <v>623</v>
      </c>
      <c r="F22" s="2">
        <v>940</v>
      </c>
      <c r="G22" s="2">
        <v>967</v>
      </c>
      <c r="H22" s="2">
        <v>481</v>
      </c>
      <c r="I22" s="2">
        <v>241</v>
      </c>
      <c r="J22" s="2">
        <v>167</v>
      </c>
      <c r="K22" s="2">
        <v>542</v>
      </c>
      <c r="L22" s="2"/>
      <c r="M22" s="2"/>
      <c r="N22" s="2">
        <v>338</v>
      </c>
      <c r="O22" s="2">
        <v>182</v>
      </c>
      <c r="P22" s="2">
        <v>500</v>
      </c>
      <c r="Q22" s="2">
        <v>500</v>
      </c>
      <c r="R22" s="2">
        <v>500</v>
      </c>
      <c r="S22" s="2">
        <v>500</v>
      </c>
      <c r="T22" s="2">
        <v>500</v>
      </c>
      <c r="U22" s="89">
        <f>(T22-Q22)/Q22</f>
        <v>0</v>
      </c>
      <c r="V22" s="33"/>
    </row>
    <row r="23" spans="1:22" ht="12.75">
      <c r="A23" t="s">
        <v>213</v>
      </c>
      <c r="B23" s="4">
        <v>52.3602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150</v>
      </c>
      <c r="N23" s="2">
        <v>200</v>
      </c>
      <c r="O23" s="2">
        <v>150</v>
      </c>
      <c r="P23" s="2">
        <v>150</v>
      </c>
      <c r="Q23" s="2">
        <v>150</v>
      </c>
      <c r="R23" s="2">
        <v>150</v>
      </c>
      <c r="S23" s="2">
        <v>150</v>
      </c>
      <c r="T23" s="2">
        <v>150</v>
      </c>
      <c r="U23" s="89"/>
      <c r="V23" s="33" t="s">
        <v>588</v>
      </c>
    </row>
    <row r="24" spans="1:22" ht="12.75">
      <c r="A24" t="s">
        <v>1043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500</v>
      </c>
      <c r="S24" s="2">
        <v>200</v>
      </c>
      <c r="T24" s="2">
        <v>200</v>
      </c>
      <c r="U24" s="89"/>
      <c r="V24" s="33"/>
    </row>
    <row r="25" spans="2:21" ht="12.75">
      <c r="B25" s="4"/>
      <c r="C25" s="2"/>
      <c r="D25" s="2"/>
      <c r="E25" s="2"/>
      <c r="F25" s="2"/>
      <c r="G25" s="2"/>
      <c r="H25" s="2"/>
      <c r="I25" s="2">
        <v>716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150</v>
      </c>
      <c r="B26" s="4">
        <v>53.12</v>
      </c>
      <c r="C26" s="2">
        <v>6701</v>
      </c>
      <c r="D26" s="2">
        <v>6238</v>
      </c>
      <c r="E26" s="2">
        <v>6325</v>
      </c>
      <c r="F26" s="2">
        <v>5755</v>
      </c>
      <c r="G26" s="2">
        <v>6704</v>
      </c>
      <c r="H26" s="2">
        <v>7029</v>
      </c>
      <c r="I26" s="2">
        <v>7461</v>
      </c>
      <c r="J26" s="2">
        <v>8287</v>
      </c>
      <c r="K26" s="2">
        <v>8318</v>
      </c>
      <c r="L26" s="2">
        <v>9392</v>
      </c>
      <c r="M26" s="2">
        <v>10019</v>
      </c>
      <c r="N26" s="2">
        <v>10278</v>
      </c>
      <c r="O26" s="2">
        <v>7196</v>
      </c>
      <c r="P26" s="2">
        <f>+O26/$O$3*12</f>
        <v>8635.2</v>
      </c>
      <c r="Q26" s="2">
        <v>9000</v>
      </c>
      <c r="R26" s="2">
        <v>9000</v>
      </c>
      <c r="S26" s="2">
        <v>9000</v>
      </c>
      <c r="T26" s="2">
        <v>9000</v>
      </c>
      <c r="U26" s="89"/>
    </row>
    <row r="27" spans="1:24" ht="12.75" hidden="1">
      <c r="A27" t="s">
        <v>943</v>
      </c>
      <c r="B27" s="4">
        <v>53.132</v>
      </c>
      <c r="C27" s="2"/>
      <c r="D27" s="2"/>
      <c r="E27" s="2"/>
      <c r="F27" s="2"/>
      <c r="G27" s="2"/>
      <c r="H27" s="2"/>
      <c r="I27" s="2"/>
      <c r="J27" s="2"/>
      <c r="K27" s="2"/>
      <c r="L27" s="2">
        <v>35</v>
      </c>
      <c r="M27" s="2"/>
      <c r="N27" s="2"/>
      <c r="P27" s="2">
        <f>+O27/$O$3*12</f>
        <v>0</v>
      </c>
      <c r="Q27" s="2"/>
      <c r="R27" s="2"/>
      <c r="S27" s="2"/>
      <c r="T27" s="2"/>
      <c r="U27" s="89"/>
      <c r="W27" s="22"/>
      <c r="X27" s="22"/>
    </row>
    <row r="28" spans="1:24" ht="12.75">
      <c r="A28" t="s">
        <v>286</v>
      </c>
      <c r="B28" s="4">
        <v>53.1322</v>
      </c>
      <c r="C28" s="2">
        <v>22224</v>
      </c>
      <c r="D28" s="2">
        <v>21899</v>
      </c>
      <c r="E28" s="2">
        <v>22910</v>
      </c>
      <c r="F28" s="2">
        <v>19357</v>
      </c>
      <c r="G28" s="2">
        <v>20274</v>
      </c>
      <c r="H28" s="2">
        <v>21921</v>
      </c>
      <c r="I28" s="2">
        <v>21590</v>
      </c>
      <c r="J28" s="2">
        <v>18172</v>
      </c>
      <c r="K28" s="2">
        <v>19026</v>
      </c>
      <c r="L28" s="2">
        <v>19091</v>
      </c>
      <c r="M28" s="2">
        <v>16609</v>
      </c>
      <c r="N28" s="2">
        <v>37288</v>
      </c>
      <c r="O28" s="2">
        <v>18772</v>
      </c>
      <c r="P28" s="2">
        <f>+O28/$O$3*12</f>
        <v>22526.4</v>
      </c>
      <c r="Q28" s="2">
        <v>34000</v>
      </c>
      <c r="R28" s="2">
        <v>34000</v>
      </c>
      <c r="S28" s="2">
        <v>25000</v>
      </c>
      <c r="T28" s="2">
        <v>25000</v>
      </c>
      <c r="U28" s="89">
        <f>(T28-Q28)/Q28</f>
        <v>-0.2647058823529412</v>
      </c>
      <c r="W28" s="22"/>
      <c r="X28" s="22"/>
    </row>
    <row r="29" spans="1:24" ht="12.75">
      <c r="A29" t="s">
        <v>1004</v>
      </c>
      <c r="B29" s="4">
        <v>53.1324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1000</v>
      </c>
      <c r="Q29" s="2">
        <v>1000</v>
      </c>
      <c r="R29" s="2">
        <v>1000</v>
      </c>
      <c r="S29" s="2">
        <v>1000</v>
      </c>
      <c r="T29" s="2">
        <v>1000</v>
      </c>
      <c r="U29" s="51"/>
      <c r="V29" t="s">
        <v>1005</v>
      </c>
      <c r="W29" s="22"/>
      <c r="X29" s="22"/>
    </row>
    <row r="30" spans="1:21" ht="12.75">
      <c r="A30" t="s">
        <v>287</v>
      </c>
      <c r="B30" s="4">
        <v>53.1701</v>
      </c>
      <c r="C30" s="2">
        <v>848</v>
      </c>
      <c r="D30" s="2">
        <v>852</v>
      </c>
      <c r="E30" s="2">
        <v>760</v>
      </c>
      <c r="F30" s="2">
        <v>802</v>
      </c>
      <c r="G30" s="2">
        <v>859</v>
      </c>
      <c r="H30" s="2">
        <v>918</v>
      </c>
      <c r="I30" s="2">
        <v>1187</v>
      </c>
      <c r="J30" s="2">
        <v>1209</v>
      </c>
      <c r="K30" s="2">
        <v>1349</v>
      </c>
      <c r="L30" s="2">
        <v>1371</v>
      </c>
      <c r="M30" s="2">
        <v>1449</v>
      </c>
      <c r="N30" s="2">
        <v>119</v>
      </c>
      <c r="O30" s="2"/>
      <c r="P30" s="2"/>
      <c r="Q30" s="2"/>
      <c r="R30" s="2"/>
      <c r="S30" s="2"/>
      <c r="T30" s="2"/>
      <c r="U30" s="89" t="e">
        <f>(T30-Q30)/Q30</f>
        <v>#DIV/0!</v>
      </c>
    </row>
    <row r="31" spans="1:21" ht="12.75">
      <c r="A31" t="s">
        <v>270</v>
      </c>
      <c r="B31" s="4">
        <v>53.1702</v>
      </c>
      <c r="C31" s="2">
        <v>221</v>
      </c>
      <c r="D31" s="2">
        <v>37</v>
      </c>
      <c r="E31" s="2">
        <v>170</v>
      </c>
      <c r="F31" s="2">
        <v>241</v>
      </c>
      <c r="G31" s="2">
        <v>32</v>
      </c>
      <c r="H31" s="2">
        <v>87</v>
      </c>
      <c r="I31" s="2">
        <v>34</v>
      </c>
      <c r="J31" s="2">
        <v>45</v>
      </c>
      <c r="K31" s="2"/>
      <c r="L31" s="2">
        <v>25</v>
      </c>
      <c r="M31" s="2">
        <v>125</v>
      </c>
      <c r="N31" s="2">
        <v>415</v>
      </c>
      <c r="O31" s="2">
        <v>410</v>
      </c>
      <c r="P31" s="2">
        <f aca="true" t="shared" si="1" ref="P31:P38">+O31/$O$3*12</f>
        <v>492</v>
      </c>
      <c r="Q31" s="2">
        <v>150</v>
      </c>
      <c r="R31" s="2">
        <v>400</v>
      </c>
      <c r="S31" s="2">
        <v>400</v>
      </c>
      <c r="T31" s="2">
        <v>400</v>
      </c>
      <c r="U31" s="89">
        <f>(T31-Q31)/Q31</f>
        <v>1.6666666666666667</v>
      </c>
    </row>
    <row r="32" spans="1:22" ht="12.75" hidden="1">
      <c r="A32" t="s">
        <v>288</v>
      </c>
      <c r="B32" s="4">
        <v>53.1704</v>
      </c>
      <c r="C32" s="2">
        <v>891</v>
      </c>
      <c r="D32" s="2">
        <v>440</v>
      </c>
      <c r="E32" s="2">
        <v>125</v>
      </c>
      <c r="F32" s="2">
        <v>558</v>
      </c>
      <c r="G32" s="2"/>
      <c r="H32" s="2">
        <v>73</v>
      </c>
      <c r="I32" s="2">
        <v>400</v>
      </c>
      <c r="J32" s="2">
        <v>400</v>
      </c>
      <c r="K32" s="2">
        <v>358</v>
      </c>
      <c r="L32" s="2"/>
      <c r="M32" s="2"/>
      <c r="N32" s="2"/>
      <c r="O32" s="2"/>
      <c r="P32" s="2">
        <f t="shared" si="1"/>
        <v>0</v>
      </c>
      <c r="Q32" s="2"/>
      <c r="R32" s="2"/>
      <c r="S32" s="2"/>
      <c r="T32" s="2"/>
      <c r="U32" s="89" t="e">
        <f>(T32-Q32)/Q32</f>
        <v>#DIV/0!</v>
      </c>
      <c r="V32" s="2"/>
    </row>
    <row r="33" spans="1:21" ht="12.75">
      <c r="A33" t="s">
        <v>263</v>
      </c>
      <c r="B33" s="4">
        <v>53.171</v>
      </c>
      <c r="C33" s="2">
        <v>79</v>
      </c>
      <c r="D33" s="2">
        <v>148</v>
      </c>
      <c r="E33" s="2">
        <v>163</v>
      </c>
      <c r="F33" s="2">
        <v>172</v>
      </c>
      <c r="G33" s="2">
        <v>617</v>
      </c>
      <c r="H33" s="2">
        <v>151</v>
      </c>
      <c r="I33" s="2">
        <v>247</v>
      </c>
      <c r="J33" s="2">
        <v>133</v>
      </c>
      <c r="K33" s="2">
        <v>149</v>
      </c>
      <c r="L33" s="2">
        <v>93</v>
      </c>
      <c r="M33" s="2">
        <v>191</v>
      </c>
      <c r="N33" s="2">
        <v>551</v>
      </c>
      <c r="O33" s="2">
        <v>471</v>
      </c>
      <c r="P33" s="2">
        <f t="shared" si="1"/>
        <v>565.2</v>
      </c>
      <c r="Q33" s="2">
        <v>600</v>
      </c>
      <c r="R33" s="2">
        <v>800</v>
      </c>
      <c r="S33" s="2">
        <v>800</v>
      </c>
      <c r="T33" s="2">
        <v>800</v>
      </c>
      <c r="U33" s="89">
        <f>(T33-Q33)/Q33</f>
        <v>0.3333333333333333</v>
      </c>
    </row>
    <row r="34" spans="1:21" ht="12.75">
      <c r="A34" t="s">
        <v>279</v>
      </c>
      <c r="B34" s="4">
        <v>53.172</v>
      </c>
      <c r="C34" s="2">
        <v>876</v>
      </c>
      <c r="D34" s="2">
        <v>369</v>
      </c>
      <c r="E34" s="2">
        <v>2192</v>
      </c>
      <c r="F34" s="2">
        <v>692</v>
      </c>
      <c r="G34" s="2">
        <v>113</v>
      </c>
      <c r="H34" s="2">
        <v>96</v>
      </c>
      <c r="I34" s="2">
        <v>539</v>
      </c>
      <c r="J34" s="2">
        <v>419</v>
      </c>
      <c r="K34" s="2"/>
      <c r="L34" s="2">
        <v>201</v>
      </c>
      <c r="M34" s="2"/>
      <c r="N34" s="2">
        <v>3348</v>
      </c>
      <c r="O34" s="2">
        <v>1867</v>
      </c>
      <c r="P34" s="2">
        <f t="shared" si="1"/>
        <v>2240.3999999999996</v>
      </c>
      <c r="Q34" s="2">
        <v>700</v>
      </c>
      <c r="R34" s="2">
        <v>1000</v>
      </c>
      <c r="S34" s="2">
        <v>1000</v>
      </c>
      <c r="T34" s="2">
        <v>1000</v>
      </c>
      <c r="U34" s="89"/>
    </row>
    <row r="35" spans="1:21" ht="12.75">
      <c r="A35" t="s">
        <v>902</v>
      </c>
      <c r="B35" s="4">
        <v>53.175</v>
      </c>
      <c r="C35" s="2"/>
      <c r="D35" s="2"/>
      <c r="E35" s="2"/>
      <c r="F35" s="2"/>
      <c r="G35" s="2"/>
      <c r="H35" s="2"/>
      <c r="I35" s="2"/>
      <c r="J35" s="2"/>
      <c r="K35" s="2"/>
      <c r="L35" s="2">
        <v>11</v>
      </c>
      <c r="M35" s="2"/>
      <c r="N35" s="2">
        <v>115</v>
      </c>
      <c r="O35" s="2">
        <v>422</v>
      </c>
      <c r="P35" s="2">
        <f t="shared" si="1"/>
        <v>506.40000000000003</v>
      </c>
      <c r="Q35" s="2"/>
      <c r="R35" s="2">
        <v>500</v>
      </c>
      <c r="S35" s="2">
        <v>500</v>
      </c>
      <c r="T35" s="2">
        <v>500</v>
      </c>
      <c r="U35" s="51"/>
    </row>
    <row r="36" spans="1:21" ht="12.75">
      <c r="A36" t="s">
        <v>903</v>
      </c>
      <c r="B36" s="4">
        <v>53.176</v>
      </c>
      <c r="C36" s="2"/>
      <c r="D36" s="2"/>
      <c r="E36" s="2"/>
      <c r="F36" s="2"/>
      <c r="G36" s="2"/>
      <c r="H36" s="2"/>
      <c r="I36" s="2"/>
      <c r="J36" s="2"/>
      <c r="K36" s="2"/>
      <c r="L36" s="2">
        <v>14</v>
      </c>
      <c r="M36" s="2"/>
      <c r="N36" s="2">
        <v>13</v>
      </c>
      <c r="O36" s="2">
        <v>16</v>
      </c>
      <c r="P36" s="2">
        <f t="shared" si="1"/>
        <v>19.200000000000003</v>
      </c>
      <c r="Q36" s="2"/>
      <c r="R36" s="2">
        <v>100</v>
      </c>
      <c r="S36" s="2">
        <v>50</v>
      </c>
      <c r="T36" s="2">
        <v>50</v>
      </c>
      <c r="U36" s="51"/>
    </row>
    <row r="37" spans="1:21" ht="12.75">
      <c r="A37" t="s">
        <v>179</v>
      </c>
      <c r="B37" s="4">
        <v>53.177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348</v>
      </c>
      <c r="O37" s="2"/>
      <c r="P37" s="2"/>
      <c r="Q37" s="2"/>
      <c r="R37" s="2"/>
      <c r="S37" s="2"/>
      <c r="T37" s="2"/>
      <c r="U37" s="51"/>
    </row>
    <row r="38" spans="1:21" ht="12.75">
      <c r="A38" t="s">
        <v>904</v>
      </c>
      <c r="B38" s="4">
        <v>53.179</v>
      </c>
      <c r="C38" s="2"/>
      <c r="D38" s="2"/>
      <c r="E38" s="2"/>
      <c r="F38" s="2"/>
      <c r="G38" s="2"/>
      <c r="H38" s="2"/>
      <c r="I38" s="2"/>
      <c r="J38" s="2"/>
      <c r="K38" s="2"/>
      <c r="L38" s="2">
        <v>444</v>
      </c>
      <c r="M38" s="2"/>
      <c r="N38" s="2">
        <v>1743</v>
      </c>
      <c r="O38" s="2">
        <v>2413</v>
      </c>
      <c r="P38" s="2">
        <f t="shared" si="1"/>
        <v>2895.6000000000004</v>
      </c>
      <c r="Q38" s="2">
        <v>700</v>
      </c>
      <c r="R38" s="2">
        <v>2000</v>
      </c>
      <c r="S38" s="2">
        <v>2000</v>
      </c>
      <c r="T38" s="2">
        <v>2000</v>
      </c>
      <c r="U38" s="51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t="s">
        <v>636</v>
      </c>
      <c r="B40" s="4">
        <v>54.24</v>
      </c>
      <c r="C40" s="2"/>
      <c r="D40" s="2"/>
      <c r="E40" s="2">
        <v>1098</v>
      </c>
      <c r="F40" s="2"/>
      <c r="G40" s="2"/>
      <c r="H40" s="2"/>
      <c r="I40" s="2">
        <v>298</v>
      </c>
      <c r="J40" s="2"/>
      <c r="K40" s="2"/>
      <c r="L40" s="2"/>
      <c r="M40" s="2"/>
      <c r="N40" s="2">
        <v>624</v>
      </c>
      <c r="O40" s="2"/>
      <c r="P40" s="2"/>
      <c r="Q40" s="2"/>
      <c r="R40" s="2"/>
      <c r="S40" s="2"/>
      <c r="T40" s="2"/>
      <c r="U40" s="89"/>
    </row>
    <row r="41" spans="1:21" ht="12.75">
      <c r="A41" t="s">
        <v>637</v>
      </c>
      <c r="B41" s="4"/>
      <c r="C41" s="2"/>
      <c r="D41" s="2"/>
      <c r="E41" s="2"/>
      <c r="F41" s="2"/>
      <c r="G41" s="2"/>
      <c r="H41" s="2"/>
      <c r="I41" s="2">
        <v>1191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51"/>
    </row>
    <row r="42" spans="1:21" ht="12.75">
      <c r="A42" s="6" t="s">
        <v>119</v>
      </c>
      <c r="B42" s="12"/>
      <c r="C42" s="8">
        <f>SUM(C7:C40)</f>
        <v>73829</v>
      </c>
      <c r="D42" s="8">
        <f>SUM(D7:D40)</f>
        <v>78197</v>
      </c>
      <c r="E42" s="8">
        <f>SUM(E7:E41)</f>
        <v>85594</v>
      </c>
      <c r="F42" s="8">
        <f>SUM(F7:F41)</f>
        <v>81402</v>
      </c>
      <c r="G42" s="8">
        <f>SUM(G7:G41)</f>
        <v>83949</v>
      </c>
      <c r="H42" s="8">
        <f>SUM(H7:H41)</f>
        <v>86076</v>
      </c>
      <c r="I42" s="8">
        <f>SUM(I7:I41)</f>
        <v>91114</v>
      </c>
      <c r="J42" s="8">
        <v>89406</v>
      </c>
      <c r="K42" s="8">
        <v>96664</v>
      </c>
      <c r="L42" s="8">
        <v>94284</v>
      </c>
      <c r="M42" s="8">
        <v>85310</v>
      </c>
      <c r="N42" s="8">
        <v>130604</v>
      </c>
      <c r="O42" s="8">
        <f aca="true" t="shared" si="2" ref="O42:T42">SUM(O7:O41)</f>
        <v>86568</v>
      </c>
      <c r="P42" s="8">
        <f t="shared" si="2"/>
        <v>102571.19999999998</v>
      </c>
      <c r="Q42" s="8">
        <f t="shared" si="2"/>
        <v>117741.523</v>
      </c>
      <c r="R42" s="8">
        <f t="shared" si="2"/>
        <v>116858.357025</v>
      </c>
      <c r="S42" s="8">
        <f t="shared" si="2"/>
        <v>107508.464675</v>
      </c>
      <c r="T42" s="8">
        <f t="shared" si="2"/>
        <v>107508.464675</v>
      </c>
      <c r="U42" s="52">
        <f>(T42-Q42)/Q42</f>
        <v>-0.08691121079689113</v>
      </c>
    </row>
    <row r="43" spans="3:21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51"/>
    </row>
    <row r="44" spans="3:13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0" ht="12.75">
      <c r="A45" s="6" t="s">
        <v>933</v>
      </c>
      <c r="R45" s="22" t="s">
        <v>484</v>
      </c>
      <c r="S45" s="22"/>
      <c r="T45" s="55">
        <f>R42-S42</f>
        <v>9349.89235000001</v>
      </c>
    </row>
    <row r="46" spans="18:20" ht="12.75">
      <c r="R46" s="22" t="s">
        <v>725</v>
      </c>
      <c r="S46" s="22"/>
      <c r="T46" s="55">
        <f>Q42-S42</f>
        <v>10233.058325000005</v>
      </c>
    </row>
    <row r="47" spans="1:20" ht="12.75">
      <c r="A47" s="22" t="s">
        <v>6</v>
      </c>
      <c r="R47" s="22" t="s">
        <v>432</v>
      </c>
      <c r="S47" s="22"/>
      <c r="T47" s="55">
        <f>S42-T42</f>
        <v>0</v>
      </c>
    </row>
    <row r="48" ht="12.75">
      <c r="A48" t="s">
        <v>1054</v>
      </c>
    </row>
    <row r="49" spans="1:21" ht="12.75">
      <c r="A49" t="s">
        <v>19</v>
      </c>
      <c r="U49" s="2"/>
    </row>
    <row r="50" ht="12.75">
      <c r="A50" s="162" t="s">
        <v>20</v>
      </c>
    </row>
    <row r="51" ht="12.75">
      <c r="A51" t="s">
        <v>22</v>
      </c>
    </row>
    <row r="52" spans="1:20" ht="12.75">
      <c r="A52" t="s">
        <v>23</v>
      </c>
      <c r="R52" s="22"/>
      <c r="S52" s="22"/>
      <c r="T52" s="55"/>
    </row>
    <row r="53" spans="1:20" ht="12.75">
      <c r="A53" t="s">
        <v>1006</v>
      </c>
      <c r="R53" s="22"/>
      <c r="S53" s="22"/>
      <c r="T53" s="55"/>
    </row>
    <row r="56" spans="1:16" ht="12.75">
      <c r="A56" t="s">
        <v>950</v>
      </c>
      <c r="B56" s="4">
        <v>33.301</v>
      </c>
      <c r="M56">
        <v>2313</v>
      </c>
      <c r="N56">
        <v>88817</v>
      </c>
      <c r="O56">
        <v>44825</v>
      </c>
      <c r="P56" s="2">
        <f>+O56/$O$3*12</f>
        <v>53790</v>
      </c>
    </row>
    <row r="57" spans="1:21" s="22" customFormat="1" ht="12.75">
      <c r="A57" s="40" t="s">
        <v>971</v>
      </c>
      <c r="B57" s="41">
        <v>37.113</v>
      </c>
      <c r="C57" s="42">
        <v>1000</v>
      </c>
      <c r="D57" s="42">
        <v>5307</v>
      </c>
      <c r="E57" s="42">
        <v>700</v>
      </c>
      <c r="F57" s="42"/>
      <c r="G57" s="42"/>
      <c r="H57" s="42"/>
      <c r="I57" s="42"/>
      <c r="J57" s="42">
        <v>502</v>
      </c>
      <c r="K57" s="42">
        <v>1050</v>
      </c>
      <c r="L57" s="42">
        <v>1702</v>
      </c>
      <c r="M57" s="42">
        <v>2578</v>
      </c>
      <c r="N57" s="42">
        <v>113</v>
      </c>
      <c r="O57" s="22">
        <v>500</v>
      </c>
      <c r="P57" s="2">
        <f>+O57/$O$3*12</f>
        <v>600</v>
      </c>
      <c r="R57" s="4"/>
      <c r="S57" s="157"/>
      <c r="T57"/>
      <c r="U57"/>
    </row>
    <row r="58" spans="1:21" s="22" customFormat="1" ht="12.75">
      <c r="A58" s="40" t="s">
        <v>1007</v>
      </c>
      <c r="B58" s="41">
        <v>38.9021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2">
        <v>1497</v>
      </c>
      <c r="P58" s="2">
        <f>+O58/$O$3*12</f>
        <v>1796.3999999999999</v>
      </c>
      <c r="R58"/>
      <c r="S58"/>
      <c r="T58"/>
      <c r="U58"/>
    </row>
    <row r="59" spans="1:21" s="22" customFormat="1" ht="12.75">
      <c r="A59" s="40" t="s">
        <v>970</v>
      </c>
      <c r="B59" s="41">
        <v>38.902</v>
      </c>
      <c r="C59" s="42">
        <v>14069</v>
      </c>
      <c r="D59" s="42">
        <v>12162</v>
      </c>
      <c r="E59" s="42">
        <v>8500</v>
      </c>
      <c r="F59" s="42"/>
      <c r="G59" s="42"/>
      <c r="H59" s="42"/>
      <c r="I59" s="42">
        <v>9293</v>
      </c>
      <c r="J59" s="42">
        <v>7687</v>
      </c>
      <c r="K59" s="42">
        <v>9064</v>
      </c>
      <c r="L59" s="42">
        <v>8803</v>
      </c>
      <c r="M59" s="42">
        <v>11854</v>
      </c>
      <c r="N59" s="42">
        <v>1066</v>
      </c>
      <c r="O59" s="22">
        <v>298</v>
      </c>
      <c r="P59" s="2">
        <f>+O59/$O$3*12</f>
        <v>357.6</v>
      </c>
      <c r="R59"/>
      <c r="S59"/>
      <c r="T59"/>
      <c r="U59"/>
    </row>
    <row r="60" spans="1:16" ht="13.5" thickBot="1">
      <c r="A60" t="s">
        <v>964</v>
      </c>
      <c r="B60" s="180">
        <v>38.9022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1305</v>
      </c>
      <c r="O60" s="102">
        <v>1350</v>
      </c>
      <c r="P60" s="181">
        <f>+O60/$O$3*12</f>
        <v>1620</v>
      </c>
    </row>
    <row r="61" spans="1:16" ht="13.5" thickTop="1">
      <c r="A61" s="39" t="s">
        <v>951</v>
      </c>
      <c r="I61" s="2">
        <f aca="true" t="shared" si="3" ref="I61:P61">SUM(I56:I60)</f>
        <v>9293</v>
      </c>
      <c r="J61" s="2">
        <f t="shared" si="3"/>
        <v>8189</v>
      </c>
      <c r="K61" s="2">
        <f t="shared" si="3"/>
        <v>10114</v>
      </c>
      <c r="L61" s="2">
        <f t="shared" si="3"/>
        <v>10505</v>
      </c>
      <c r="M61" s="2">
        <f t="shared" si="3"/>
        <v>16745</v>
      </c>
      <c r="N61" s="2">
        <f>SUM(N56:N60)</f>
        <v>91301</v>
      </c>
      <c r="O61" s="2">
        <f t="shared" si="3"/>
        <v>48470</v>
      </c>
      <c r="P61" s="2">
        <f t="shared" si="3"/>
        <v>58164</v>
      </c>
    </row>
    <row r="62" spans="1:21" ht="12.75">
      <c r="A62" s="39" t="s">
        <v>952</v>
      </c>
      <c r="I62" s="75">
        <f aca="true" t="shared" si="4" ref="I62:N62">I61/I42</f>
        <v>0.10199310753561472</v>
      </c>
      <c r="J62" s="75">
        <f t="shared" si="4"/>
        <v>0.09159340536429322</v>
      </c>
      <c r="K62" s="75">
        <f t="shared" si="4"/>
        <v>0.10463047256476041</v>
      </c>
      <c r="L62" s="75">
        <f t="shared" si="4"/>
        <v>0.11141869246107505</v>
      </c>
      <c r="M62" s="75">
        <f t="shared" si="4"/>
        <v>0.19628414019458446</v>
      </c>
      <c r="N62" s="75">
        <f t="shared" si="4"/>
        <v>0.6990674098802487</v>
      </c>
      <c r="O62" s="75">
        <f>O61/O42</f>
        <v>0.5599066629701507</v>
      </c>
      <c r="P62" s="75">
        <f>P61/P42</f>
        <v>0.5670597594646452</v>
      </c>
      <c r="R62" s="22"/>
      <c r="S62" s="42"/>
      <c r="T62" s="42"/>
      <c r="U62" s="98"/>
    </row>
    <row r="63" spans="18:21" ht="12.75">
      <c r="R63" s="22"/>
      <c r="S63" s="42"/>
      <c r="T63" s="42"/>
      <c r="U63" s="24"/>
    </row>
    <row r="64" spans="18:21" ht="12.75">
      <c r="R64" s="42"/>
      <c r="S64" s="22"/>
      <c r="T64" s="42"/>
      <c r="U64" s="98"/>
    </row>
    <row r="65" ht="12.75">
      <c r="P65" s="2"/>
    </row>
    <row r="66" ht="12.75">
      <c r="P66" s="2"/>
    </row>
    <row r="67" ht="12.75">
      <c r="P67" s="2"/>
    </row>
    <row r="68" spans="16:17" ht="12.75">
      <c r="P68" s="2"/>
      <c r="Q68" s="5"/>
    </row>
    <row r="69" spans="16:17" ht="12.75">
      <c r="P69" s="2"/>
      <c r="Q69" s="5"/>
    </row>
    <row r="70" spans="16:17" ht="12.75">
      <c r="P70" s="2"/>
      <c r="Q70" s="5"/>
    </row>
    <row r="71" spans="16:17" ht="12.75">
      <c r="P71" s="2"/>
      <c r="Q71" s="5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Q79" s="5"/>
    </row>
    <row r="80" ht="12.75">
      <c r="Q80" s="5"/>
    </row>
    <row r="81" ht="12.75">
      <c r="Q81" s="5"/>
    </row>
    <row r="84" ht="12.75">
      <c r="U84" s="2"/>
    </row>
    <row r="85" spans="17:21" ht="12.75">
      <c r="Q85" s="5"/>
      <c r="U85" s="2"/>
    </row>
    <row r="86" ht="12.75">
      <c r="U86" s="2"/>
    </row>
    <row r="87" ht="12.75">
      <c r="U87" s="2"/>
    </row>
    <row r="88" ht="12.75">
      <c r="U88" s="2"/>
    </row>
    <row r="89" ht="12.75">
      <c r="U8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9" r:id="rId3"/>
  <headerFooter alignWithMargins="0">
    <oddFooter>&amp;L&amp;F
&amp;A&amp;CPage &amp;P of &amp;N&amp;R&amp;D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V85"/>
  <sheetViews>
    <sheetView zoomScale="75" zoomScaleNormal="75" workbookViewId="0" topLeftCell="A1">
      <selection activeCell="T8" sqref="T8:T35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8.57421875" style="0" hidden="1" customWidth="1"/>
    <col min="4" max="8" width="11.7109375" style="0" hidden="1" customWidth="1"/>
    <col min="9" max="9" width="7.57421875" style="0" hidden="1" customWidth="1"/>
    <col min="10" max="10" width="7.140625" style="0" hidden="1" customWidth="1"/>
    <col min="11" max="11" width="11.7109375" style="0" hidden="1" customWidth="1"/>
    <col min="12" max="14" width="11.7109375" style="0" customWidth="1"/>
    <col min="15" max="15" width="13.28125" style="0" bestFit="1" customWidth="1"/>
    <col min="16" max="16" width="11.28125" style="0" customWidth="1"/>
    <col min="17" max="18" width="11.7109375" style="0" customWidth="1"/>
    <col min="19" max="19" width="10.7109375" style="0" bestFit="1" customWidth="1"/>
    <col min="20" max="20" width="9.57421875" style="0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spans="1:14" ht="12.75">
      <c r="A2" t="s">
        <v>110</v>
      </c>
      <c r="K2" s="159"/>
      <c r="L2" s="159"/>
      <c r="M2" s="159"/>
      <c r="N2" s="159"/>
    </row>
    <row r="3" spans="1:21" ht="12.75">
      <c r="A3" s="6" t="s">
        <v>501</v>
      </c>
      <c r="O3" s="56">
        <v>10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652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52080</v>
      </c>
      <c r="N7" s="2"/>
      <c r="O7" s="2"/>
      <c r="P7" s="2">
        <f>+O7/$O$3*12</f>
        <v>0</v>
      </c>
      <c r="Q7" s="2"/>
      <c r="R7" s="2"/>
      <c r="S7" s="2"/>
      <c r="T7" s="2"/>
      <c r="U7" s="89"/>
    </row>
    <row r="8" spans="1:22" ht="12.75">
      <c r="A8" t="s">
        <v>963</v>
      </c>
      <c r="B8" s="4">
        <v>51.1101</v>
      </c>
      <c r="C8" s="2"/>
      <c r="D8" s="2"/>
      <c r="E8" s="2"/>
      <c r="F8" s="2"/>
      <c r="G8" s="2"/>
      <c r="H8" s="2"/>
      <c r="I8" s="2"/>
      <c r="J8" s="2"/>
      <c r="K8" s="2">
        <v>790</v>
      </c>
      <c r="L8" s="2">
        <v>1458</v>
      </c>
      <c r="M8" s="2">
        <v>1171</v>
      </c>
      <c r="N8" s="2">
        <v>2692</v>
      </c>
      <c r="O8" s="2">
        <v>3484</v>
      </c>
      <c r="P8" s="2">
        <f>+O8/$O$3*12</f>
        <v>4180.799999999999</v>
      </c>
      <c r="Q8" s="2">
        <v>1742</v>
      </c>
      <c r="R8" s="2">
        <v>4326</v>
      </c>
      <c r="S8" s="2">
        <v>4326</v>
      </c>
      <c r="T8" s="2">
        <v>4326</v>
      </c>
      <c r="U8" s="89"/>
      <c r="V8" t="s">
        <v>372</v>
      </c>
    </row>
    <row r="9" spans="1:21" ht="12.75">
      <c r="A9" t="s">
        <v>726</v>
      </c>
      <c r="B9" s="4">
        <v>51.1102</v>
      </c>
      <c r="C9" s="2"/>
      <c r="D9" s="2"/>
      <c r="E9" s="2"/>
      <c r="F9" s="2"/>
      <c r="G9" s="2"/>
      <c r="H9" s="2"/>
      <c r="I9" s="2"/>
      <c r="J9" s="2"/>
      <c r="K9" s="2">
        <v>396</v>
      </c>
      <c r="L9" s="2">
        <v>731</v>
      </c>
      <c r="M9" s="2">
        <v>586</v>
      </c>
      <c r="N9" s="2">
        <v>1348</v>
      </c>
      <c r="O9" s="2">
        <v>1744</v>
      </c>
      <c r="P9" s="2">
        <f>+O9/$O$3*12</f>
        <v>2092.8</v>
      </c>
      <c r="Q9" s="2">
        <v>872</v>
      </c>
      <c r="R9" s="2">
        <v>2165</v>
      </c>
      <c r="S9" s="2">
        <v>2165</v>
      </c>
      <c r="T9" s="2">
        <v>2165</v>
      </c>
      <c r="U9" s="89"/>
    </row>
    <row r="10" spans="1:21" ht="12.75">
      <c r="A10" t="s">
        <v>47</v>
      </c>
      <c r="B10" s="4">
        <v>51.1105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17173</v>
      </c>
      <c r="O10" s="2">
        <v>18257</v>
      </c>
      <c r="P10" s="2">
        <f>+O10/$O$3*12</f>
        <v>21908.4</v>
      </c>
      <c r="Q10" s="2">
        <v>24000</v>
      </c>
      <c r="R10" s="2">
        <v>24000</v>
      </c>
      <c r="S10" s="2">
        <v>24000</v>
      </c>
      <c r="T10" s="2">
        <v>24000</v>
      </c>
      <c r="U10" s="89"/>
    </row>
    <row r="11" spans="1:22" ht="12.75">
      <c r="A11" t="s">
        <v>1022</v>
      </c>
      <c r="B11" s="4">
        <v>51.1108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1500</v>
      </c>
      <c r="Q11" s="2">
        <v>1500</v>
      </c>
      <c r="R11" s="2">
        <v>1500</v>
      </c>
      <c r="S11" s="2">
        <v>1500</v>
      </c>
      <c r="T11" s="2">
        <v>1500</v>
      </c>
      <c r="U11" s="89"/>
      <c r="V11" t="s">
        <v>510</v>
      </c>
    </row>
    <row r="12" spans="1:21" ht="12.75">
      <c r="A12" t="s">
        <v>698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10764</v>
      </c>
      <c r="O12" s="2"/>
      <c r="P12" s="2"/>
      <c r="Q12" s="2"/>
      <c r="R12" s="2"/>
      <c r="S12" s="2"/>
      <c r="T12" s="2"/>
      <c r="U12" s="89"/>
    </row>
    <row r="13" spans="1:21" ht="12.75">
      <c r="A13" t="s">
        <v>490</v>
      </c>
      <c r="B13" s="4">
        <v>51.21</v>
      </c>
      <c r="C13" s="2">
        <v>4375</v>
      </c>
      <c r="D13" s="2">
        <v>5036</v>
      </c>
      <c r="E13" s="2">
        <v>6373</v>
      </c>
      <c r="F13" s="2">
        <v>5679</v>
      </c>
      <c r="G13" s="2">
        <v>6045</v>
      </c>
      <c r="H13" s="2">
        <v>6322</v>
      </c>
      <c r="I13" s="2">
        <v>6368</v>
      </c>
      <c r="J13" s="2">
        <v>6797</v>
      </c>
      <c r="K13" s="2">
        <v>8022</v>
      </c>
      <c r="L13" s="2">
        <v>8662</v>
      </c>
      <c r="M13" s="2">
        <v>9110</v>
      </c>
      <c r="N13" s="2"/>
      <c r="O13" s="2"/>
      <c r="P13" s="2">
        <f>+O13/$O$3*12</f>
        <v>0</v>
      </c>
      <c r="Q13" s="31"/>
      <c r="R13" s="31"/>
      <c r="S13" s="31"/>
      <c r="T13" s="31"/>
      <c r="U13" s="89"/>
    </row>
    <row r="14" spans="1:21" ht="12.75">
      <c r="A14" t="s">
        <v>141</v>
      </c>
      <c r="B14" s="4">
        <v>51.22</v>
      </c>
      <c r="C14" s="2">
        <v>2471</v>
      </c>
      <c r="D14" s="2">
        <v>2487</v>
      </c>
      <c r="E14" s="2">
        <v>2712</v>
      </c>
      <c r="F14" s="2">
        <v>2958</v>
      </c>
      <c r="G14" s="2">
        <v>2919</v>
      </c>
      <c r="H14" s="2">
        <v>3160</v>
      </c>
      <c r="I14" s="2">
        <v>3111</v>
      </c>
      <c r="J14" s="2">
        <v>3213</v>
      </c>
      <c r="K14" s="2">
        <v>3357</v>
      </c>
      <c r="L14" s="2">
        <v>3502.61</v>
      </c>
      <c r="M14" s="2">
        <v>3962</v>
      </c>
      <c r="N14" s="2">
        <v>1624</v>
      </c>
      <c r="O14" s="2">
        <v>1796</v>
      </c>
      <c r="P14" s="2">
        <f>+O14/$O$3*12</f>
        <v>2155.2</v>
      </c>
      <c r="Q14" s="2">
        <f>(Q8+Q9+Q10)*0.0765</f>
        <v>2035.971</v>
      </c>
      <c r="R14" s="2">
        <f>(R8+R9+R10+R11)*0.0765</f>
        <v>2447.3115</v>
      </c>
      <c r="S14" s="2">
        <f>(S8+S9+S10+S11)*0.0765</f>
        <v>2447.3115</v>
      </c>
      <c r="T14" s="2">
        <v>2447.3115</v>
      </c>
      <c r="U14" s="89"/>
    </row>
    <row r="15" spans="1:21" ht="12.75">
      <c r="A15" t="s">
        <v>155</v>
      </c>
      <c r="B15" s="4">
        <v>51.24</v>
      </c>
      <c r="C15" s="2">
        <v>638</v>
      </c>
      <c r="D15" s="2">
        <v>690</v>
      </c>
      <c r="E15" s="2">
        <v>861</v>
      </c>
      <c r="F15" s="2">
        <v>908</v>
      </c>
      <c r="G15" s="2">
        <v>941</v>
      </c>
      <c r="H15" s="2">
        <v>918</v>
      </c>
      <c r="I15" s="2">
        <v>706</v>
      </c>
      <c r="J15" s="2">
        <v>832</v>
      </c>
      <c r="K15" s="2">
        <v>1037</v>
      </c>
      <c r="L15" s="2">
        <v>1067</v>
      </c>
      <c r="M15" s="2">
        <v>368</v>
      </c>
      <c r="N15" s="2"/>
      <c r="O15" s="2"/>
      <c r="P15" s="2">
        <f>+O15/$O$3*12</f>
        <v>0</v>
      </c>
      <c r="Q15" s="2"/>
      <c r="R15" s="2"/>
      <c r="S15" s="2"/>
      <c r="T15" s="2"/>
      <c r="U15" s="89"/>
    </row>
    <row r="16" spans="1:21" ht="12.75">
      <c r="A16" t="s">
        <v>1020</v>
      </c>
      <c r="B16" s="4">
        <v>51.27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1689</v>
      </c>
      <c r="P16" s="2">
        <v>1700</v>
      </c>
      <c r="Q16" s="2"/>
      <c r="R16" s="2">
        <v>1700</v>
      </c>
      <c r="S16" s="2">
        <v>1700</v>
      </c>
      <c r="T16" s="2">
        <v>1700</v>
      </c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727</v>
      </c>
      <c r="B18" s="4">
        <v>52.124</v>
      </c>
      <c r="C18" s="2"/>
      <c r="D18" s="2"/>
      <c r="E18" s="2"/>
      <c r="F18" s="2"/>
      <c r="G18" s="2"/>
      <c r="H18" s="2"/>
      <c r="I18" s="2"/>
      <c r="J18" s="2"/>
      <c r="K18" s="2">
        <v>936</v>
      </c>
      <c r="L18" s="2"/>
      <c r="M18" s="2">
        <v>725</v>
      </c>
      <c r="N18" s="2">
        <v>725</v>
      </c>
      <c r="O18" s="2"/>
      <c r="P18" s="2">
        <v>725</v>
      </c>
      <c r="Q18" s="2">
        <v>725</v>
      </c>
      <c r="R18" s="2">
        <v>725</v>
      </c>
      <c r="S18" s="2">
        <v>725</v>
      </c>
      <c r="T18" s="2">
        <v>725</v>
      </c>
      <c r="U18" s="89"/>
    </row>
    <row r="19" spans="1:21" ht="12.75">
      <c r="A19" t="s">
        <v>290</v>
      </c>
      <c r="B19" s="4">
        <v>52.126</v>
      </c>
      <c r="C19" s="2">
        <v>80</v>
      </c>
      <c r="D19" s="2" t="s">
        <v>130</v>
      </c>
      <c r="E19" s="2">
        <v>50</v>
      </c>
      <c r="F19" s="2"/>
      <c r="G19" s="2"/>
      <c r="H19" s="2"/>
      <c r="I19" s="2">
        <v>100</v>
      </c>
      <c r="J19" s="2"/>
      <c r="K19" s="2"/>
      <c r="L19" s="2">
        <v>35</v>
      </c>
      <c r="M19" s="2"/>
      <c r="N19" s="2">
        <v>492</v>
      </c>
      <c r="O19" s="2">
        <v>303</v>
      </c>
      <c r="P19" s="2">
        <v>200</v>
      </c>
      <c r="Q19" s="2">
        <v>200</v>
      </c>
      <c r="R19" s="2">
        <v>200</v>
      </c>
      <c r="S19" s="2">
        <v>200</v>
      </c>
      <c r="T19" s="2">
        <v>200</v>
      </c>
      <c r="U19" s="89"/>
    </row>
    <row r="20" spans="1:21" ht="12.75">
      <c r="A20" t="s">
        <v>1001</v>
      </c>
      <c r="B20" s="4">
        <v>52.1261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237</v>
      </c>
      <c r="O20" s="2"/>
      <c r="P20" s="2"/>
      <c r="Q20" s="2"/>
      <c r="R20" s="2"/>
      <c r="S20" s="2"/>
      <c r="T20" s="2"/>
      <c r="U20" s="89"/>
    </row>
    <row r="21" spans="1:21" ht="12.75">
      <c r="A21" t="s">
        <v>266</v>
      </c>
      <c r="B21" s="4">
        <v>52.2206</v>
      </c>
      <c r="C21" s="2">
        <v>172</v>
      </c>
      <c r="D21" s="2">
        <v>785</v>
      </c>
      <c r="E21" s="2"/>
      <c r="F21" s="2">
        <v>6</v>
      </c>
      <c r="G21" s="2">
        <v>41</v>
      </c>
      <c r="H21" s="2">
        <v>6</v>
      </c>
      <c r="I21" s="2">
        <v>366</v>
      </c>
      <c r="J21" s="2">
        <v>45</v>
      </c>
      <c r="K21" s="2"/>
      <c r="L21" s="2">
        <v>95</v>
      </c>
      <c r="M21" s="2">
        <v>246</v>
      </c>
      <c r="N21" s="2">
        <v>750</v>
      </c>
      <c r="O21" s="2">
        <v>3145</v>
      </c>
      <c r="P21" s="2">
        <v>3145</v>
      </c>
      <c r="Q21" s="2">
        <v>300</v>
      </c>
      <c r="R21" s="2">
        <v>300</v>
      </c>
      <c r="S21" s="2">
        <v>300</v>
      </c>
      <c r="T21" s="2">
        <v>300</v>
      </c>
      <c r="U21" s="89"/>
    </row>
    <row r="22" spans="1:21" ht="12.75" hidden="1">
      <c r="A22" t="s">
        <v>717</v>
      </c>
      <c r="B22" s="4">
        <v>52.2214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9"/>
    </row>
    <row r="23" spans="1:21" ht="12.75">
      <c r="A23" t="s">
        <v>728</v>
      </c>
      <c r="B23" s="4">
        <v>52.134</v>
      </c>
      <c r="C23" s="2"/>
      <c r="D23" s="2"/>
      <c r="E23" s="2"/>
      <c r="F23" s="2"/>
      <c r="G23" s="2"/>
      <c r="H23" s="2"/>
      <c r="I23" s="2"/>
      <c r="J23" s="2"/>
      <c r="K23" s="2">
        <v>4095</v>
      </c>
      <c r="L23" s="2"/>
      <c r="M23" s="2">
        <v>1663</v>
      </c>
      <c r="N23" s="2">
        <v>541</v>
      </c>
      <c r="O23" s="2"/>
      <c r="P23" s="2">
        <v>1700</v>
      </c>
      <c r="Q23" s="2">
        <v>1663</v>
      </c>
      <c r="R23" s="2">
        <v>1663</v>
      </c>
      <c r="S23" s="2">
        <v>1663</v>
      </c>
      <c r="T23" s="2">
        <v>1663</v>
      </c>
      <c r="U23" s="89"/>
    </row>
    <row r="24" spans="1:22" ht="12.75">
      <c r="A24" t="s">
        <v>143</v>
      </c>
      <c r="B24" s="4">
        <v>52.32</v>
      </c>
      <c r="C24" s="2">
        <v>617</v>
      </c>
      <c r="D24" s="2">
        <v>716</v>
      </c>
      <c r="E24" s="2">
        <v>747</v>
      </c>
      <c r="F24" s="2">
        <v>881</v>
      </c>
      <c r="G24" s="2">
        <v>900</v>
      </c>
      <c r="H24" s="2">
        <v>1001</v>
      </c>
      <c r="I24" s="2">
        <v>984</v>
      </c>
      <c r="J24" s="2">
        <v>770</v>
      </c>
      <c r="K24" s="2">
        <v>688</v>
      </c>
      <c r="L24" s="2">
        <v>335</v>
      </c>
      <c r="M24" s="2">
        <v>514</v>
      </c>
      <c r="N24" s="2">
        <v>519</v>
      </c>
      <c r="O24" s="2">
        <v>1086</v>
      </c>
      <c r="P24" s="2">
        <f>+O24/$O$3*12</f>
        <v>1303.1999999999998</v>
      </c>
      <c r="Q24" s="2">
        <v>1200</v>
      </c>
      <c r="R24" s="2">
        <v>1200</v>
      </c>
      <c r="S24" s="2">
        <v>1200</v>
      </c>
      <c r="T24" s="2">
        <v>1200</v>
      </c>
      <c r="U24" s="89"/>
      <c r="V24" s="33"/>
    </row>
    <row r="25" spans="1:21" ht="12.75">
      <c r="A25" t="s">
        <v>165</v>
      </c>
      <c r="B25" s="4">
        <v>52.33</v>
      </c>
      <c r="C25" s="2">
        <v>20</v>
      </c>
      <c r="D25" s="2">
        <v>150</v>
      </c>
      <c r="E25" s="2"/>
      <c r="F25" s="2">
        <v>100</v>
      </c>
      <c r="G25" s="2">
        <v>2</v>
      </c>
      <c r="H25" s="2"/>
      <c r="I25" s="2"/>
      <c r="J25" s="2"/>
      <c r="K25" s="2"/>
      <c r="L25" s="2"/>
      <c r="M25" s="2"/>
      <c r="N25" s="2">
        <v>56</v>
      </c>
      <c r="O25" s="2">
        <v>283</v>
      </c>
      <c r="P25" s="2">
        <v>283</v>
      </c>
      <c r="Q25" s="2">
        <v>200</v>
      </c>
      <c r="R25" s="2">
        <v>200</v>
      </c>
      <c r="S25" s="2">
        <v>200</v>
      </c>
      <c r="T25" s="2">
        <v>200</v>
      </c>
      <c r="U25" s="89"/>
    </row>
    <row r="26" spans="1:21" ht="12.75" hidden="1">
      <c r="A26" t="s">
        <v>145</v>
      </c>
      <c r="B26" s="4">
        <v>52.35</v>
      </c>
      <c r="C26" s="2">
        <v>44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>+O26/$O$3*12</f>
        <v>0</v>
      </c>
      <c r="Q26" s="2"/>
      <c r="R26" s="2"/>
      <c r="S26" s="2"/>
      <c r="T26" s="2"/>
      <c r="U26" s="89"/>
    </row>
    <row r="27" spans="1:21" ht="12.75">
      <c r="A27" t="s">
        <v>144</v>
      </c>
      <c r="B27" s="4">
        <v>52.321</v>
      </c>
      <c r="K27">
        <v>41</v>
      </c>
      <c r="O27" s="2"/>
      <c r="P27" s="2"/>
      <c r="U27" s="89"/>
    </row>
    <row r="28" spans="1:21" ht="12.75">
      <c r="A28" t="s">
        <v>145</v>
      </c>
      <c r="B28" s="4">
        <v>52.35</v>
      </c>
      <c r="K28" s="2">
        <v>47</v>
      </c>
      <c r="L28" s="2">
        <v>309</v>
      </c>
      <c r="M28" s="2"/>
      <c r="N28" s="2">
        <v>426</v>
      </c>
      <c r="O28" s="2"/>
      <c r="P28" s="2">
        <v>1000</v>
      </c>
      <c r="Q28" s="2">
        <v>1000</v>
      </c>
      <c r="R28" s="2">
        <v>1000</v>
      </c>
      <c r="S28" s="2">
        <v>500</v>
      </c>
      <c r="T28" s="2">
        <v>500</v>
      </c>
      <c r="U28" s="89"/>
    </row>
    <row r="29" spans="2:21" ht="12.75">
      <c r="B29" s="4"/>
      <c r="K29" s="2"/>
      <c r="L29" s="2"/>
      <c r="M29" s="2"/>
      <c r="N29" s="2"/>
      <c r="O29" s="2"/>
      <c r="P29" s="2"/>
      <c r="U29" s="89"/>
    </row>
    <row r="30" spans="1:21" ht="12.75">
      <c r="A30" t="s">
        <v>263</v>
      </c>
      <c r="B30" s="4">
        <v>53.171</v>
      </c>
      <c r="C30" s="2">
        <v>31</v>
      </c>
      <c r="D30" s="2">
        <v>72</v>
      </c>
      <c r="E30" s="2">
        <v>8</v>
      </c>
      <c r="F30" s="2">
        <v>42</v>
      </c>
      <c r="G30" s="2">
        <v>19</v>
      </c>
      <c r="H30" s="2"/>
      <c r="I30" s="2">
        <v>19</v>
      </c>
      <c r="J30" s="2"/>
      <c r="K30" s="2">
        <v>16</v>
      </c>
      <c r="L30" s="2">
        <v>16</v>
      </c>
      <c r="M30" s="2">
        <v>10</v>
      </c>
      <c r="N30" s="2">
        <v>10</v>
      </c>
      <c r="O30" s="2">
        <v>74</v>
      </c>
      <c r="P30" s="2">
        <f aca="true" t="shared" si="0" ref="P30:P37">+O30/$O$3*12</f>
        <v>88.80000000000001</v>
      </c>
      <c r="Q30" s="2">
        <v>200</v>
      </c>
      <c r="R30" s="2">
        <v>200</v>
      </c>
      <c r="S30" s="2">
        <v>100</v>
      </c>
      <c r="T30" s="2">
        <v>100</v>
      </c>
      <c r="U30" s="89"/>
    </row>
    <row r="31" spans="1:21" ht="12.75">
      <c r="A31" t="s">
        <v>280</v>
      </c>
      <c r="B31" s="4">
        <v>53.175</v>
      </c>
      <c r="C31" s="2">
        <v>1374</v>
      </c>
      <c r="D31" s="2">
        <v>1736</v>
      </c>
      <c r="E31" s="2">
        <v>493</v>
      </c>
      <c r="F31" s="2">
        <v>811</v>
      </c>
      <c r="G31" s="2">
        <v>366</v>
      </c>
      <c r="H31" s="2">
        <v>273</v>
      </c>
      <c r="I31" s="2">
        <v>662</v>
      </c>
      <c r="J31" s="2">
        <v>144</v>
      </c>
      <c r="K31" s="2">
        <v>216</v>
      </c>
      <c r="L31" s="2">
        <v>176</v>
      </c>
      <c r="M31" s="2">
        <v>651</v>
      </c>
      <c r="N31" s="2">
        <v>2274</v>
      </c>
      <c r="O31" s="11">
        <v>2043</v>
      </c>
      <c r="P31" s="2">
        <f t="shared" si="0"/>
        <v>2451.6000000000004</v>
      </c>
      <c r="Q31" s="2">
        <v>300</v>
      </c>
      <c r="R31" s="2">
        <v>300</v>
      </c>
      <c r="S31" s="2">
        <v>300</v>
      </c>
      <c r="T31" s="2">
        <v>300</v>
      </c>
      <c r="U31" s="89"/>
    </row>
    <row r="32" spans="1:21" ht="12.75">
      <c r="A32" t="s">
        <v>275</v>
      </c>
      <c r="B32" s="4">
        <v>53.176</v>
      </c>
      <c r="C32" s="2">
        <v>87</v>
      </c>
      <c r="D32" s="2">
        <v>170</v>
      </c>
      <c r="E32" s="2">
        <v>108</v>
      </c>
      <c r="F32" s="2">
        <v>88</v>
      </c>
      <c r="G32" s="2">
        <v>69</v>
      </c>
      <c r="H32" s="2">
        <v>97</v>
      </c>
      <c r="I32" s="2">
        <v>94</v>
      </c>
      <c r="J32" s="2">
        <v>107</v>
      </c>
      <c r="K32" s="2">
        <v>83</v>
      </c>
      <c r="L32" s="2">
        <v>66</v>
      </c>
      <c r="M32" s="2">
        <v>74</v>
      </c>
      <c r="N32" s="2">
        <v>84</v>
      </c>
      <c r="O32" s="11">
        <v>195</v>
      </c>
      <c r="P32" s="2">
        <f t="shared" si="0"/>
        <v>234</v>
      </c>
      <c r="Q32" s="2">
        <v>100</v>
      </c>
      <c r="R32" s="2">
        <v>100</v>
      </c>
      <c r="S32" s="2">
        <v>100</v>
      </c>
      <c r="T32" s="2">
        <v>100</v>
      </c>
      <c r="U32" s="89"/>
    </row>
    <row r="33" spans="1:21" ht="12.75">
      <c r="A33" t="s">
        <v>276</v>
      </c>
      <c r="B33" s="4">
        <v>53.177</v>
      </c>
      <c r="C33" s="2">
        <v>222</v>
      </c>
      <c r="D33" s="2">
        <v>494</v>
      </c>
      <c r="E33" s="2">
        <v>414</v>
      </c>
      <c r="F33" s="2">
        <v>618</v>
      </c>
      <c r="G33" s="2">
        <v>354</v>
      </c>
      <c r="H33" s="2">
        <v>364</v>
      </c>
      <c r="I33" s="2">
        <v>671</v>
      </c>
      <c r="J33" s="2">
        <v>367</v>
      </c>
      <c r="K33" s="2">
        <v>441</v>
      </c>
      <c r="L33" s="2">
        <v>907</v>
      </c>
      <c r="M33" s="2">
        <v>497</v>
      </c>
      <c r="N33" s="2">
        <v>378</v>
      </c>
      <c r="O33" s="11">
        <v>1592</v>
      </c>
      <c r="P33" s="2">
        <v>1328</v>
      </c>
      <c r="Q33" s="20">
        <v>500</v>
      </c>
      <c r="R33" s="2">
        <v>500</v>
      </c>
      <c r="S33" s="20">
        <v>500</v>
      </c>
      <c r="T33" s="20">
        <v>500</v>
      </c>
      <c r="U33" s="89"/>
    </row>
    <row r="34" spans="1:21" ht="12.75">
      <c r="A34" t="s">
        <v>192</v>
      </c>
      <c r="B34" s="4">
        <v>53.178</v>
      </c>
      <c r="C34" s="2">
        <v>163</v>
      </c>
      <c r="D34" s="2"/>
      <c r="E34" s="2">
        <v>62</v>
      </c>
      <c r="J34" s="2">
        <v>90</v>
      </c>
      <c r="K34" s="2">
        <v>186</v>
      </c>
      <c r="L34" s="2"/>
      <c r="M34" s="2"/>
      <c r="N34" s="2">
        <v>196</v>
      </c>
      <c r="O34" s="11"/>
      <c r="P34" s="2">
        <f t="shared" si="0"/>
        <v>0</v>
      </c>
      <c r="Q34" s="20"/>
      <c r="R34" s="2"/>
      <c r="S34" s="20"/>
      <c r="T34" s="20"/>
      <c r="U34" s="89"/>
    </row>
    <row r="35" spans="1:21" ht="12.75">
      <c r="A35" t="s">
        <v>180</v>
      </c>
      <c r="B35" s="4">
        <v>53.179</v>
      </c>
      <c r="C35" s="2">
        <v>2298</v>
      </c>
      <c r="D35" s="2">
        <v>3540</v>
      </c>
      <c r="E35" s="2">
        <v>3752</v>
      </c>
      <c r="F35" s="2">
        <v>2812</v>
      </c>
      <c r="G35" s="2">
        <v>3277</v>
      </c>
      <c r="H35" s="2">
        <v>4057</v>
      </c>
      <c r="I35" s="2">
        <v>5519</v>
      </c>
      <c r="J35" s="2">
        <v>6160</v>
      </c>
      <c r="K35" s="2">
        <v>5041</v>
      </c>
      <c r="L35" s="2">
        <v>6600</v>
      </c>
      <c r="M35" s="2">
        <v>4370</v>
      </c>
      <c r="N35" s="2">
        <v>5544</v>
      </c>
      <c r="O35" s="11">
        <v>8723</v>
      </c>
      <c r="P35" s="2">
        <f t="shared" si="0"/>
        <v>10467.599999999999</v>
      </c>
      <c r="Q35" s="20">
        <v>6000</v>
      </c>
      <c r="R35" s="2">
        <v>6000</v>
      </c>
      <c r="S35" s="20">
        <v>6000</v>
      </c>
      <c r="T35" s="20">
        <v>6000</v>
      </c>
      <c r="U35" s="89"/>
    </row>
    <row r="36" spans="1:21" ht="12.75" hidden="1">
      <c r="A36" t="s">
        <v>335</v>
      </c>
      <c r="B36" s="4"/>
      <c r="C36" s="2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89"/>
    </row>
    <row r="37" spans="2:21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0"/>
        <v>0</v>
      </c>
      <c r="Q37" s="2"/>
      <c r="R37" s="2"/>
      <c r="S37" s="2"/>
      <c r="T37" s="2"/>
      <c r="U37" s="89"/>
    </row>
    <row r="38" spans="1:21" ht="12.75">
      <c r="A38" t="s">
        <v>398</v>
      </c>
      <c r="B38" s="4"/>
      <c r="C38" s="2"/>
      <c r="D38" s="2"/>
      <c r="E38" s="2"/>
      <c r="F38" s="2"/>
      <c r="G38" s="2">
        <v>4200</v>
      </c>
      <c r="H38" s="2"/>
      <c r="I38" s="2">
        <v>2800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9"/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1"/>
    </row>
    <row r="40" spans="1:21" ht="12.75">
      <c r="A40" s="6" t="s">
        <v>119</v>
      </c>
      <c r="B40" s="6"/>
      <c r="C40" s="8">
        <f>SUM(C7:C36)</f>
        <v>44907</v>
      </c>
      <c r="D40" s="8">
        <f>SUM(D7:D36)</f>
        <v>48398</v>
      </c>
      <c r="E40" s="8">
        <f>SUM(E7:E37)</f>
        <v>50810</v>
      </c>
      <c r="F40" s="8">
        <f>SUM(F7:F39)</f>
        <v>53571</v>
      </c>
      <c r="G40" s="8">
        <f>SUM(G7:G39)</f>
        <v>57267</v>
      </c>
      <c r="H40" s="8">
        <f>SUM(H7:H39)</f>
        <v>57509</v>
      </c>
      <c r="I40" s="8">
        <f>SUM(I7:I39)</f>
        <v>62414</v>
      </c>
      <c r="J40" s="8">
        <v>60911</v>
      </c>
      <c r="K40" s="8">
        <f aca="true" t="shared" si="1" ref="K40:T40">SUM(K7:K39)</f>
        <v>69542</v>
      </c>
      <c r="L40" s="8">
        <v>69973</v>
      </c>
      <c r="M40" s="8">
        <v>73095</v>
      </c>
      <c r="N40" s="8">
        <v>45833</v>
      </c>
      <c r="O40" s="8">
        <f t="shared" si="1"/>
        <v>44414</v>
      </c>
      <c r="P40" s="8">
        <f t="shared" si="1"/>
        <v>56463.399999999994</v>
      </c>
      <c r="Q40" s="8">
        <f t="shared" si="1"/>
        <v>42537.971000000005</v>
      </c>
      <c r="R40" s="8">
        <f t="shared" si="1"/>
        <v>48526.311499999996</v>
      </c>
      <c r="S40" s="8">
        <f t="shared" si="1"/>
        <v>47926.311499999996</v>
      </c>
      <c r="T40" s="8">
        <f t="shared" si="1"/>
        <v>47926.311499999996</v>
      </c>
      <c r="U40" s="52">
        <f>(T40-Q40)/Q40</f>
        <v>0.12667130973407242</v>
      </c>
    </row>
    <row r="41" spans="3:2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51"/>
    </row>
    <row r="42" spans="1:21" ht="12.75">
      <c r="A42" s="6" t="s">
        <v>933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2" t="s">
        <v>484</v>
      </c>
      <c r="R42" s="22"/>
      <c r="S42" s="55">
        <f>R40-S40</f>
        <v>600</v>
      </c>
      <c r="T42" s="2"/>
      <c r="U42" s="51"/>
    </row>
    <row r="43" spans="17:21" ht="12.75">
      <c r="Q43" s="22" t="s">
        <v>725</v>
      </c>
      <c r="R43" s="22"/>
      <c r="S43" s="55">
        <f>Q40-S40</f>
        <v>-5388.340499999991</v>
      </c>
      <c r="U43" s="51"/>
    </row>
    <row r="44" spans="1:21" ht="12.75">
      <c r="A44" s="33" t="s">
        <v>70</v>
      </c>
      <c r="B44">
        <v>33.4119</v>
      </c>
      <c r="M44" s="18">
        <v>30244</v>
      </c>
      <c r="N44" s="18"/>
      <c r="O44" s="31">
        <v>7208</v>
      </c>
      <c r="P44" s="2">
        <f>+O44/$O$3*12</f>
        <v>8649.599999999999</v>
      </c>
      <c r="Q44" s="22" t="s">
        <v>432</v>
      </c>
      <c r="R44" s="22"/>
      <c r="S44" s="55">
        <f>S40-T40</f>
        <v>0</v>
      </c>
      <c r="U44" s="51"/>
    </row>
    <row r="45" spans="1:21" ht="12.75">
      <c r="A45" t="s">
        <v>955</v>
      </c>
      <c r="B45" s="4">
        <v>33.126</v>
      </c>
      <c r="E45" s="113">
        <v>22000</v>
      </c>
      <c r="I45" s="42">
        <v>18631</v>
      </c>
      <c r="J45" s="42">
        <v>29422</v>
      </c>
      <c r="K45" s="42">
        <v>30850</v>
      </c>
      <c r="L45" s="42">
        <v>30591</v>
      </c>
      <c r="M45" s="42">
        <v>33329</v>
      </c>
      <c r="N45" s="42">
        <v>18242</v>
      </c>
      <c r="O45" s="43">
        <v>24083</v>
      </c>
      <c r="P45" s="2">
        <f>+O45/$O$3*12</f>
        <v>28899.600000000002</v>
      </c>
      <c r="U45" s="51"/>
    </row>
    <row r="46" spans="1:21" ht="12.75">
      <c r="A46" t="s">
        <v>932</v>
      </c>
      <c r="B46">
        <v>33.4125</v>
      </c>
      <c r="E46" s="113"/>
      <c r="I46" s="42"/>
      <c r="J46" s="42"/>
      <c r="K46" s="42"/>
      <c r="L46" s="42"/>
      <c r="M46" s="42"/>
      <c r="N46" s="42">
        <v>6696</v>
      </c>
      <c r="O46">
        <v>9675</v>
      </c>
      <c r="P46" s="2">
        <f>+O46/$O$3*12</f>
        <v>11610</v>
      </c>
      <c r="U46" s="51"/>
    </row>
    <row r="47" spans="1:21" ht="13.5" thickBot="1">
      <c r="A47" t="s">
        <v>956</v>
      </c>
      <c r="B47" s="4">
        <v>34.551</v>
      </c>
      <c r="E47" s="113">
        <v>2572</v>
      </c>
      <c r="I47" s="42">
        <v>2193</v>
      </c>
      <c r="J47" s="42">
        <v>1319</v>
      </c>
      <c r="K47" s="42">
        <v>2437</v>
      </c>
      <c r="L47" s="42">
        <v>1516</v>
      </c>
      <c r="M47" s="42">
        <v>1255</v>
      </c>
      <c r="N47" s="42">
        <v>3219</v>
      </c>
      <c r="O47" s="43">
        <v>4391</v>
      </c>
      <c r="P47" s="2">
        <f>+O47/$O$3*12</f>
        <v>5269.200000000001</v>
      </c>
      <c r="Q47" s="75"/>
      <c r="U47" s="51"/>
    </row>
    <row r="48" spans="1:21" ht="13.5" thickTop="1">
      <c r="A48" s="165" t="s">
        <v>119</v>
      </c>
      <c r="B48" s="166"/>
      <c r="C48" s="166"/>
      <c r="D48" s="166"/>
      <c r="E48" s="167"/>
      <c r="F48" s="166"/>
      <c r="G48" s="166"/>
      <c r="H48" s="166"/>
      <c r="I48" s="168"/>
      <c r="J48" s="168">
        <f aca="true" t="shared" si="2" ref="J48:P48">SUM(J44:J47)</f>
        <v>30741</v>
      </c>
      <c r="K48" s="168">
        <f t="shared" si="2"/>
        <v>33287</v>
      </c>
      <c r="L48" s="168">
        <f t="shared" si="2"/>
        <v>32107</v>
      </c>
      <c r="M48" s="168">
        <f>SUM(M44:M47)</f>
        <v>64828</v>
      </c>
      <c r="N48" s="168">
        <f>SUM(N44:N47)</f>
        <v>28157</v>
      </c>
      <c r="O48" s="168">
        <f t="shared" si="2"/>
        <v>45357</v>
      </c>
      <c r="P48" s="168">
        <f t="shared" si="2"/>
        <v>54428.399999999994</v>
      </c>
      <c r="U48" s="51"/>
    </row>
    <row r="49" spans="1:21" ht="12.75">
      <c r="A49" s="39" t="s">
        <v>953</v>
      </c>
      <c r="E49" s="113"/>
      <c r="I49" s="42"/>
      <c r="J49" s="155">
        <f aca="true" t="shared" si="3" ref="J49:P49">J47/J40</f>
        <v>0.02165454515604735</v>
      </c>
      <c r="K49" s="155">
        <f t="shared" si="3"/>
        <v>0.03504357079175175</v>
      </c>
      <c r="L49" s="155">
        <f t="shared" si="3"/>
        <v>0.021665499549826363</v>
      </c>
      <c r="M49" s="155">
        <f t="shared" si="3"/>
        <v>0.017169437033996853</v>
      </c>
      <c r="N49" s="155">
        <f>N47/N40</f>
        <v>0.07023323805991316</v>
      </c>
      <c r="O49" s="155">
        <f>O47/O40</f>
        <v>0.09886522267753411</v>
      </c>
      <c r="P49" s="155">
        <f t="shared" si="3"/>
        <v>0.09332062893839198</v>
      </c>
      <c r="U49" s="51"/>
    </row>
    <row r="50" spans="1:21" ht="12.75">
      <c r="A50" s="174" t="s">
        <v>954</v>
      </c>
      <c r="J50" s="155">
        <f>J45/J40</f>
        <v>0.483032621365599</v>
      </c>
      <c r="K50" s="155">
        <f aca="true" t="shared" si="4" ref="K50:P50">K48/K40</f>
        <v>0.4786603779011245</v>
      </c>
      <c r="L50" s="155">
        <f t="shared" si="4"/>
        <v>0.4588484129592843</v>
      </c>
      <c r="M50" s="155">
        <f t="shared" si="4"/>
        <v>0.8869006087967714</v>
      </c>
      <c r="N50" s="155">
        <f t="shared" si="4"/>
        <v>0.6143390133746427</v>
      </c>
      <c r="O50" s="155">
        <f>O48/O40</f>
        <v>1.021232043950106</v>
      </c>
      <c r="P50" s="155">
        <f t="shared" si="4"/>
        <v>0.9639589539418455</v>
      </c>
      <c r="U50" s="51"/>
    </row>
    <row r="51" spans="1:21" ht="12.75">
      <c r="A51" s="174"/>
      <c r="J51" s="155"/>
      <c r="K51" s="155"/>
      <c r="L51" s="155"/>
      <c r="M51" s="155"/>
      <c r="N51" s="155"/>
      <c r="U51" s="51"/>
    </row>
    <row r="52" spans="1:21" ht="12.75">
      <c r="A52" s="22" t="s">
        <v>5</v>
      </c>
      <c r="U52" s="51"/>
    </row>
    <row r="53" spans="1:21" ht="12.75">
      <c r="A53" s="33" t="s">
        <v>25</v>
      </c>
      <c r="U53" s="51"/>
    </row>
    <row r="54" ht="12.75">
      <c r="U54" s="51"/>
    </row>
    <row r="55" spans="12:21" ht="12.75">
      <c r="L55" s="2"/>
      <c r="M55" s="2"/>
      <c r="N55" s="2"/>
      <c r="U55" s="51"/>
    </row>
    <row r="56" spans="1:21" ht="12.75">
      <c r="A56" s="6" t="s">
        <v>1002</v>
      </c>
      <c r="L56" s="2"/>
      <c r="M56" s="2"/>
      <c r="N56" s="2"/>
      <c r="O56" s="5"/>
      <c r="U56" s="51"/>
    </row>
    <row r="57" spans="12:21" ht="12.75">
      <c r="L57" s="2"/>
      <c r="M57" s="2"/>
      <c r="N57" s="2"/>
      <c r="O57" s="5"/>
      <c r="U57" s="51"/>
    </row>
    <row r="58" spans="12:21" ht="12.75">
      <c r="L58" s="2"/>
      <c r="M58" s="2"/>
      <c r="N58" s="2"/>
      <c r="U58" s="51"/>
    </row>
    <row r="59" spans="12:15" ht="12.75">
      <c r="L59" s="2"/>
      <c r="M59" s="2"/>
      <c r="N59" s="2"/>
      <c r="O59" s="5"/>
    </row>
    <row r="60" spans="12:15" ht="12.75">
      <c r="L60" s="2"/>
      <c r="M60" s="2"/>
      <c r="N60" s="2"/>
      <c r="O60" s="5"/>
    </row>
    <row r="61" spans="12:15" ht="12.75">
      <c r="L61" s="2"/>
      <c r="M61" s="2"/>
      <c r="N61" s="2"/>
      <c r="O61" s="5"/>
    </row>
    <row r="62" spans="12:14" ht="12.75">
      <c r="L62" s="2"/>
      <c r="M62" s="2"/>
      <c r="N62" s="2"/>
    </row>
    <row r="63" spans="12:14" ht="12.75">
      <c r="L63" s="2"/>
      <c r="M63" s="2"/>
      <c r="N63" s="2"/>
    </row>
    <row r="64" spans="12:14" ht="12.75">
      <c r="L64" s="2"/>
      <c r="M64" s="2"/>
      <c r="N64" s="2"/>
    </row>
    <row r="65" spans="12:14" ht="12.75">
      <c r="L65" s="2"/>
      <c r="M65" s="2"/>
      <c r="N65" s="2"/>
    </row>
    <row r="66" spans="12:15" ht="12.75">
      <c r="L66" s="2"/>
      <c r="M66" s="2"/>
      <c r="N66" s="2"/>
      <c r="O66" s="5"/>
    </row>
    <row r="67" spans="12:14" ht="12.75">
      <c r="L67" s="2"/>
      <c r="M67" s="2"/>
      <c r="N67" s="2"/>
    </row>
    <row r="74" ht="12.75">
      <c r="O74" s="5"/>
    </row>
    <row r="75" ht="12.75">
      <c r="O75" s="5"/>
    </row>
    <row r="80" ht="12.75">
      <c r="U80" s="2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Z99"/>
  <sheetViews>
    <sheetView zoomScale="75" zoomScaleNormal="75" workbookViewId="0" topLeftCell="A1">
      <pane ySplit="1365" topLeftCell="BM1" activePane="bottomLeft" state="split"/>
      <selection pane="topLeft" activeCell="O3" sqref="O3"/>
      <selection pane="bottomLeft" activeCell="T38" sqref="T38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11.57421875" style="0" hidden="1" customWidth="1"/>
    <col min="4" max="4" width="8.7109375" style="0" hidden="1" customWidth="1"/>
    <col min="5" max="7" width="11.7109375" style="0" hidden="1" customWidth="1"/>
    <col min="8" max="8" width="8.7109375" style="0" hidden="1" customWidth="1"/>
    <col min="9" max="9" width="9.140625" style="0" hidden="1" customWidth="1"/>
    <col min="10" max="10" width="11.7109375" style="0" hidden="1" customWidth="1"/>
    <col min="11" max="11" width="8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2.0039062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476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6" ht="12.75">
      <c r="A7" t="s">
        <v>652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88512</v>
      </c>
      <c r="N7" s="2">
        <v>78105</v>
      </c>
      <c r="O7" s="2">
        <v>70147</v>
      </c>
      <c r="P7" s="2">
        <f aca="true" t="shared" si="0" ref="P7:P53">+O7/$O$3*12</f>
        <v>93529.33333333334</v>
      </c>
      <c r="Q7" s="2">
        <v>87568</v>
      </c>
      <c r="R7" s="2">
        <f>S7+30000</f>
        <v>119899</v>
      </c>
      <c r="S7" s="2">
        <v>89899</v>
      </c>
      <c r="T7" s="2">
        <v>89899</v>
      </c>
      <c r="U7" s="89">
        <f aca="true" t="shared" si="1" ref="U7:U12">(T7-Q7)/Q7</f>
        <v>0.02661931299104696</v>
      </c>
      <c r="V7" t="s">
        <v>1041</v>
      </c>
      <c r="X7" s="173"/>
      <c r="Y7" s="159"/>
      <c r="Z7" s="173"/>
    </row>
    <row r="8" spans="1:25" ht="12.75">
      <c r="A8" t="s">
        <v>643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18530</v>
      </c>
      <c r="N8" s="2"/>
      <c r="O8" s="2">
        <v>700</v>
      </c>
      <c r="P8" s="2">
        <v>10000</v>
      </c>
      <c r="Q8" s="2">
        <v>10000</v>
      </c>
      <c r="R8" s="20">
        <v>10000</v>
      </c>
      <c r="S8" s="20">
        <v>5000</v>
      </c>
      <c r="T8" s="2">
        <v>5000</v>
      </c>
      <c r="U8" s="89">
        <f t="shared" si="1"/>
        <v>-0.5</v>
      </c>
      <c r="Y8" s="2"/>
    </row>
    <row r="9" spans="1:25" ht="12.75">
      <c r="A9" t="s">
        <v>154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/>
      <c r="N9" s="2">
        <v>634</v>
      </c>
      <c r="O9" s="2">
        <v>489</v>
      </c>
      <c r="P9" s="2">
        <f t="shared" si="0"/>
        <v>652</v>
      </c>
      <c r="Q9" s="2"/>
      <c r="R9" s="2"/>
      <c r="S9" s="2"/>
      <c r="T9" s="2"/>
      <c r="U9" s="89"/>
      <c r="Y9" s="2"/>
    </row>
    <row r="10" spans="1:25" ht="12.75">
      <c r="A10" t="s">
        <v>490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12508</v>
      </c>
      <c r="N10" s="2">
        <v>9122</v>
      </c>
      <c r="O10" s="2">
        <v>11288</v>
      </c>
      <c r="P10" s="2">
        <f t="shared" si="0"/>
        <v>15050.666666666666</v>
      </c>
      <c r="Q10" s="31">
        <v>14880</v>
      </c>
      <c r="R10" s="31">
        <f>5351*4</f>
        <v>21404</v>
      </c>
      <c r="S10" s="31">
        <f>5351*3</f>
        <v>16053</v>
      </c>
      <c r="T10" s="31">
        <v>16053</v>
      </c>
      <c r="U10" s="89">
        <f t="shared" si="1"/>
        <v>0.07883064516129032</v>
      </c>
      <c r="V10" t="s">
        <v>921</v>
      </c>
      <c r="Y10" s="2"/>
    </row>
    <row r="11" spans="1:25" ht="12.75">
      <c r="A11" t="s">
        <v>141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8844</v>
      </c>
      <c r="N11" s="2">
        <v>6040</v>
      </c>
      <c r="O11" s="2">
        <v>5434</v>
      </c>
      <c r="P11" s="2">
        <f t="shared" si="0"/>
        <v>7245.333333333334</v>
      </c>
      <c r="Q11" s="31">
        <f>(Q7+Q8+Q9+(Q29*0.66))*0.0765</f>
        <v>8473.752</v>
      </c>
      <c r="R11" s="31">
        <f>(R7+R8+R9+(R29*0.66))*0.0765</f>
        <v>10694.6235</v>
      </c>
      <c r="S11" s="31">
        <f>(S7+S8+S9+(S29*0.66))*0.0765</f>
        <v>8017.1235</v>
      </c>
      <c r="T11" s="31">
        <v>8017.1235</v>
      </c>
      <c r="U11" s="89">
        <f t="shared" si="1"/>
        <v>-0.053887404304492355</v>
      </c>
      <c r="Y11" s="2"/>
    </row>
    <row r="12" spans="1:25" ht="12.75">
      <c r="A12" t="s">
        <v>212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141</v>
      </c>
      <c r="O12" s="2"/>
      <c r="P12" s="2">
        <f t="shared" si="0"/>
        <v>0</v>
      </c>
      <c r="Q12" s="20">
        <v>1500</v>
      </c>
      <c r="R12" s="20">
        <v>2000</v>
      </c>
      <c r="S12" s="20">
        <v>2000</v>
      </c>
      <c r="T12" s="20">
        <v>2000</v>
      </c>
      <c r="U12" s="89">
        <f t="shared" si="1"/>
        <v>0.3333333333333333</v>
      </c>
      <c r="Y12" s="2"/>
    </row>
    <row r="13" spans="1:21" ht="12.75">
      <c r="A13" t="s">
        <v>168</v>
      </c>
      <c r="B13" s="4">
        <v>51.26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5415</v>
      </c>
      <c r="O13" s="2"/>
      <c r="P13" s="2">
        <f t="shared" si="0"/>
        <v>0</v>
      </c>
      <c r="Q13" s="13"/>
      <c r="R13" s="13"/>
      <c r="S13" s="13"/>
      <c r="T13" s="13"/>
      <c r="U13" s="89"/>
    </row>
    <row r="14" spans="1:21" ht="12.75">
      <c r="A14" t="s">
        <v>1020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2254</v>
      </c>
      <c r="P14" s="2">
        <v>2254</v>
      </c>
      <c r="Q14" s="2">
        <v>2254</v>
      </c>
      <c r="R14" s="2">
        <v>2500</v>
      </c>
      <c r="S14" s="2">
        <v>2500</v>
      </c>
      <c r="T14" s="2">
        <v>2500</v>
      </c>
      <c r="U14" s="89"/>
    </row>
    <row r="15" spans="1:21" ht="12.75" hidden="1">
      <c r="A15" t="s">
        <v>292</v>
      </c>
      <c r="B15" s="4">
        <v>52.1306</v>
      </c>
      <c r="C15" s="2"/>
      <c r="D15" s="2"/>
      <c r="E15" s="2">
        <v>120</v>
      </c>
      <c r="F15" s="2">
        <v>240</v>
      </c>
      <c r="G15" s="2">
        <v>60</v>
      </c>
      <c r="H15" s="2">
        <v>240</v>
      </c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  <c r="R15" s="2"/>
      <c r="S15" s="2"/>
      <c r="T15" s="2"/>
      <c r="U15" s="89"/>
    </row>
    <row r="16" spans="1:21" ht="12.75" hidden="1">
      <c r="A16" t="s">
        <v>397</v>
      </c>
      <c r="B16" s="4">
        <v>52.21</v>
      </c>
      <c r="C16" s="2"/>
      <c r="D16" s="2"/>
      <c r="E16" s="2"/>
      <c r="F16" s="2">
        <v>400</v>
      </c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  <c r="Q16" s="2"/>
      <c r="R16" s="2"/>
      <c r="S16" s="2"/>
      <c r="T16" s="2"/>
      <c r="U16" s="89"/>
    </row>
    <row r="17" spans="2:21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5" ht="12.75">
      <c r="A18" t="s">
        <v>197</v>
      </c>
      <c r="B18" s="4">
        <v>52.211</v>
      </c>
      <c r="C18" s="2"/>
      <c r="D18" s="2"/>
      <c r="E18" s="2">
        <v>1890</v>
      </c>
      <c r="F18" s="2">
        <v>1666</v>
      </c>
      <c r="G18" s="2">
        <v>1472</v>
      </c>
      <c r="H18" s="2">
        <v>1999</v>
      </c>
      <c r="I18" s="2">
        <v>2277</v>
      </c>
      <c r="J18" s="2">
        <v>1935</v>
      </c>
      <c r="K18" s="2">
        <v>3631</v>
      </c>
      <c r="L18" s="2">
        <v>4326</v>
      </c>
      <c r="M18" s="2">
        <v>3042</v>
      </c>
      <c r="N18" s="2">
        <v>2325</v>
      </c>
      <c r="O18" s="2">
        <v>1356</v>
      </c>
      <c r="P18" s="2">
        <f t="shared" si="0"/>
        <v>1808</v>
      </c>
      <c r="Q18" s="20">
        <v>2500</v>
      </c>
      <c r="R18" s="20">
        <v>2500</v>
      </c>
      <c r="S18" s="20">
        <v>2000</v>
      </c>
      <c r="T18" s="20">
        <v>2000</v>
      </c>
      <c r="U18" s="89">
        <f>(T18-Q18)/Q18</f>
        <v>-0.2</v>
      </c>
      <c r="V18" s="13"/>
      <c r="Y18" s="2"/>
    </row>
    <row r="19" spans="1:25" ht="12.75" hidden="1">
      <c r="A19" t="s">
        <v>293</v>
      </c>
      <c r="B19" s="4">
        <v>52.2205</v>
      </c>
      <c r="C19" s="2">
        <v>338</v>
      </c>
      <c r="D19" s="2">
        <v>540</v>
      </c>
      <c r="E19" s="2">
        <v>360</v>
      </c>
      <c r="F19" s="2">
        <v>119</v>
      </c>
      <c r="G19" s="2"/>
      <c r="H19" s="2">
        <v>95</v>
      </c>
      <c r="I19" s="2">
        <v>26</v>
      </c>
      <c r="J19" s="2"/>
      <c r="K19" s="2"/>
      <c r="L19" s="2"/>
      <c r="M19" s="2"/>
      <c r="N19" s="2"/>
      <c r="O19" s="2"/>
      <c r="P19" s="2">
        <f t="shared" si="0"/>
        <v>0</v>
      </c>
      <c r="Q19" s="20"/>
      <c r="R19" s="20"/>
      <c r="S19" s="20"/>
      <c r="T19" s="20"/>
      <c r="U19" s="89"/>
      <c r="Y19" s="2"/>
    </row>
    <row r="20" spans="1:25" ht="12.75">
      <c r="A20" t="s">
        <v>294</v>
      </c>
      <c r="B20" s="4">
        <v>52.2206</v>
      </c>
      <c r="C20" s="2">
        <v>610</v>
      </c>
      <c r="D20" s="2">
        <v>482</v>
      </c>
      <c r="E20" s="2">
        <v>157</v>
      </c>
      <c r="F20" s="2">
        <v>144</v>
      </c>
      <c r="G20" s="2">
        <v>55</v>
      </c>
      <c r="H20" s="2">
        <v>95</v>
      </c>
      <c r="I20" s="2">
        <v>20</v>
      </c>
      <c r="J20" s="2"/>
      <c r="K20" s="2">
        <v>2653</v>
      </c>
      <c r="L20" s="2"/>
      <c r="M20" s="2"/>
      <c r="N20" s="2">
        <v>365</v>
      </c>
      <c r="O20" s="2">
        <v>47</v>
      </c>
      <c r="P20" s="2">
        <f t="shared" si="0"/>
        <v>62.66666666666667</v>
      </c>
      <c r="Q20" s="2"/>
      <c r="R20" s="2"/>
      <c r="S20" s="2"/>
      <c r="T20" s="2"/>
      <c r="U20" s="89"/>
      <c r="Y20" s="2"/>
    </row>
    <row r="21" spans="1:25" ht="12.75">
      <c r="A21" t="s">
        <v>295</v>
      </c>
      <c r="B21" s="4">
        <v>52.3196</v>
      </c>
      <c r="C21" s="2">
        <v>3449</v>
      </c>
      <c r="D21" s="2">
        <v>2974</v>
      </c>
      <c r="E21" s="2">
        <v>1656</v>
      </c>
      <c r="F21" s="2">
        <v>2796</v>
      </c>
      <c r="G21" s="2">
        <v>3012</v>
      </c>
      <c r="H21" s="2">
        <v>3006</v>
      </c>
      <c r="I21" s="2">
        <v>3078</v>
      </c>
      <c r="J21" s="2">
        <v>2112</v>
      </c>
      <c r="K21" s="2">
        <v>2112</v>
      </c>
      <c r="L21" s="2">
        <v>1920</v>
      </c>
      <c r="M21" s="2">
        <v>1374</v>
      </c>
      <c r="N21" s="2">
        <v>1470</v>
      </c>
      <c r="O21" s="2"/>
      <c r="P21" s="2">
        <f t="shared" si="0"/>
        <v>0</v>
      </c>
      <c r="Q21" s="2">
        <v>2000</v>
      </c>
      <c r="R21" s="2">
        <v>2000</v>
      </c>
      <c r="S21" s="2">
        <v>1500</v>
      </c>
      <c r="T21" s="2">
        <v>1500</v>
      </c>
      <c r="U21" s="89">
        <f>(T21-Q21)/Q21</f>
        <v>-0.25</v>
      </c>
      <c r="X21" s="2"/>
      <c r="Y21" s="2"/>
    </row>
    <row r="22" spans="1:25" ht="12.75">
      <c r="A22" t="s">
        <v>143</v>
      </c>
      <c r="B22" s="4">
        <v>52.32</v>
      </c>
      <c r="C22" s="2">
        <v>1890</v>
      </c>
      <c r="D22" s="2">
        <v>1801</v>
      </c>
      <c r="E22" s="2">
        <v>2110</v>
      </c>
      <c r="F22" s="2">
        <v>1668</v>
      </c>
      <c r="G22" s="2">
        <v>1015</v>
      </c>
      <c r="H22" s="2">
        <v>1118</v>
      </c>
      <c r="I22" s="2">
        <v>1280</v>
      </c>
      <c r="J22" s="2">
        <v>2037</v>
      </c>
      <c r="K22" s="2">
        <v>2259</v>
      </c>
      <c r="L22" s="2">
        <v>2212</v>
      </c>
      <c r="M22" s="2">
        <v>1901</v>
      </c>
      <c r="N22" s="2">
        <v>2053</v>
      </c>
      <c r="O22" s="2">
        <v>1064</v>
      </c>
      <c r="P22" s="2">
        <f t="shared" si="0"/>
        <v>1418.6666666666667</v>
      </c>
      <c r="Q22" s="2">
        <v>1560</v>
      </c>
      <c r="R22" s="20">
        <v>2000</v>
      </c>
      <c r="S22" s="20">
        <v>1500</v>
      </c>
      <c r="T22" s="2">
        <v>1500</v>
      </c>
      <c r="U22" s="89">
        <f>(T22-Q22)/Q22</f>
        <v>-0.038461538461538464</v>
      </c>
      <c r="Y22" s="2"/>
    </row>
    <row r="23" spans="1:25" ht="12.75">
      <c r="A23" t="s">
        <v>144</v>
      </c>
      <c r="B23" s="4">
        <v>52.321</v>
      </c>
      <c r="C23" s="2">
        <v>236</v>
      </c>
      <c r="D23" s="2">
        <v>199</v>
      </c>
      <c r="E23" s="2">
        <v>206</v>
      </c>
      <c r="F23" s="2">
        <v>209</v>
      </c>
      <c r="G23" s="2">
        <v>180</v>
      </c>
      <c r="H23" s="2">
        <v>111</v>
      </c>
      <c r="I23" s="2">
        <v>74</v>
      </c>
      <c r="J23" s="2">
        <v>154</v>
      </c>
      <c r="K23" s="2">
        <v>41</v>
      </c>
      <c r="L23" s="2"/>
      <c r="M23" s="2">
        <v>50</v>
      </c>
      <c r="N23" s="2">
        <v>9</v>
      </c>
      <c r="O23" s="2">
        <v>6</v>
      </c>
      <c r="P23" s="2">
        <f t="shared" si="0"/>
        <v>8</v>
      </c>
      <c r="Q23" s="2">
        <v>100</v>
      </c>
      <c r="R23" s="2">
        <v>100</v>
      </c>
      <c r="S23" s="2">
        <v>50</v>
      </c>
      <c r="T23" s="2">
        <v>50</v>
      </c>
      <c r="U23" s="89">
        <f>(T23-Q23)/Q23</f>
        <v>-0.5</v>
      </c>
      <c r="Y23" s="2"/>
    </row>
    <row r="24" spans="1:25" ht="12.75">
      <c r="A24" t="s">
        <v>156</v>
      </c>
      <c r="B24" s="4">
        <v>52.35</v>
      </c>
      <c r="C24" s="2">
        <v>285</v>
      </c>
      <c r="D24" s="2">
        <v>245</v>
      </c>
      <c r="E24" s="2">
        <v>746</v>
      </c>
      <c r="F24" s="2">
        <v>744</v>
      </c>
      <c r="G24" s="2">
        <v>590</v>
      </c>
      <c r="H24" s="2">
        <v>603</v>
      </c>
      <c r="I24" s="2">
        <v>788</v>
      </c>
      <c r="J24" s="2">
        <v>821</v>
      </c>
      <c r="K24" s="2">
        <v>362</v>
      </c>
      <c r="L24" s="2">
        <v>540</v>
      </c>
      <c r="M24" s="2"/>
      <c r="N24" s="2">
        <v>100</v>
      </c>
      <c r="O24" s="2">
        <v>81</v>
      </c>
      <c r="P24" s="2">
        <f t="shared" si="0"/>
        <v>108</v>
      </c>
      <c r="Q24" s="2">
        <v>500</v>
      </c>
      <c r="R24" s="2">
        <v>500</v>
      </c>
      <c r="S24" s="2">
        <v>300</v>
      </c>
      <c r="T24" s="2">
        <v>300</v>
      </c>
      <c r="U24" s="89">
        <f>(T24-Q24)/Q24</f>
        <v>-0.4</v>
      </c>
      <c r="Y24" s="2"/>
    </row>
    <row r="25" spans="1:25" ht="12.75">
      <c r="A25" t="s">
        <v>146</v>
      </c>
      <c r="B25" s="4">
        <v>52.36</v>
      </c>
      <c r="C25" s="2">
        <v>775</v>
      </c>
      <c r="D25" s="2">
        <v>1010</v>
      </c>
      <c r="E25" s="2">
        <v>1525</v>
      </c>
      <c r="F25" s="2">
        <v>1350</v>
      </c>
      <c r="G25" s="2">
        <v>1685</v>
      </c>
      <c r="H25" s="2">
        <v>1795</v>
      </c>
      <c r="I25" s="2">
        <v>2433</v>
      </c>
      <c r="J25" s="2">
        <v>1855</v>
      </c>
      <c r="K25" s="2">
        <v>1320</v>
      </c>
      <c r="L25" s="2">
        <v>1491</v>
      </c>
      <c r="M25" s="2">
        <v>680</v>
      </c>
      <c r="N25" s="2">
        <v>710</v>
      </c>
      <c r="O25" s="2">
        <v>740</v>
      </c>
      <c r="P25" s="2">
        <f t="shared" si="0"/>
        <v>986.6666666666667</v>
      </c>
      <c r="Q25" s="2">
        <v>1500</v>
      </c>
      <c r="R25" s="2">
        <v>1500</v>
      </c>
      <c r="S25" s="2">
        <v>1000</v>
      </c>
      <c r="T25" s="2">
        <v>1000</v>
      </c>
      <c r="U25" s="89">
        <f>(T25-Q25)/Q25</f>
        <v>-0.3333333333333333</v>
      </c>
      <c r="Y25" s="2"/>
    </row>
    <row r="26" spans="1:25" ht="12.75">
      <c r="A26" t="s">
        <v>605</v>
      </c>
      <c r="B26" s="4">
        <v>52.3702</v>
      </c>
      <c r="C26" s="2"/>
      <c r="D26" s="2"/>
      <c r="E26" s="2"/>
      <c r="F26" s="2"/>
      <c r="G26" s="2"/>
      <c r="H26" s="2">
        <v>1485</v>
      </c>
      <c r="I26" s="2"/>
      <c r="J26" s="2">
        <v>1223</v>
      </c>
      <c r="K26" s="2">
        <v>650</v>
      </c>
      <c r="L26" s="2">
        <v>650</v>
      </c>
      <c r="M26" s="2"/>
      <c r="N26" s="2">
        <v>45</v>
      </c>
      <c r="O26" s="2"/>
      <c r="P26" s="2"/>
      <c r="Q26" s="2"/>
      <c r="R26" s="2"/>
      <c r="S26" s="2"/>
      <c r="T26" s="2"/>
      <c r="U26" s="89"/>
      <c r="Y26" s="2"/>
    </row>
    <row r="27" spans="1:22" ht="12.75">
      <c r="A27" t="s">
        <v>157</v>
      </c>
      <c r="B27" s="4">
        <v>52.37</v>
      </c>
      <c r="C27" s="2"/>
      <c r="D27" s="2"/>
      <c r="E27" s="2"/>
      <c r="F27" s="2">
        <v>99</v>
      </c>
      <c r="G27" s="2">
        <v>156</v>
      </c>
      <c r="H27" s="2"/>
      <c r="I27" s="2"/>
      <c r="J27" s="2"/>
      <c r="K27" s="2">
        <v>245</v>
      </c>
      <c r="L27" s="2">
        <v>60</v>
      </c>
      <c r="M27" s="2"/>
      <c r="N27" s="2"/>
      <c r="O27" s="2"/>
      <c r="P27" s="2"/>
      <c r="Q27" s="2">
        <v>500</v>
      </c>
      <c r="R27" s="2">
        <v>500</v>
      </c>
      <c r="S27" s="2">
        <v>100</v>
      </c>
      <c r="T27" s="2">
        <v>100</v>
      </c>
      <c r="U27" s="89"/>
      <c r="V27" s="10"/>
    </row>
    <row r="28" spans="1:22" ht="12.75" hidden="1">
      <c r="A28" t="s">
        <v>564</v>
      </c>
      <c r="B28" s="4">
        <v>52.3851</v>
      </c>
      <c r="C28" s="2"/>
      <c r="D28" s="2"/>
      <c r="E28" s="2"/>
      <c r="F28" s="2"/>
      <c r="G28" s="2"/>
      <c r="H28" s="2">
        <v>615</v>
      </c>
      <c r="I28" s="2">
        <v>975</v>
      </c>
      <c r="J28" s="2">
        <v>1174</v>
      </c>
      <c r="K28" s="2">
        <v>500</v>
      </c>
      <c r="L28" s="2"/>
      <c r="M28" s="2"/>
      <c r="N28" s="2"/>
      <c r="O28" s="2"/>
      <c r="P28" s="2"/>
      <c r="Q28" s="2"/>
      <c r="R28" s="2"/>
      <c r="S28" s="2"/>
      <c r="T28" s="2"/>
      <c r="U28" s="89"/>
      <c r="V28" s="10"/>
    </row>
    <row r="29" spans="1:22" ht="12.75">
      <c r="A29" t="s">
        <v>296</v>
      </c>
      <c r="B29" s="4">
        <v>52.386</v>
      </c>
      <c r="C29" s="2">
        <v>8404</v>
      </c>
      <c r="D29" s="2">
        <v>8252</v>
      </c>
      <c r="E29" s="2">
        <v>14122</v>
      </c>
      <c r="F29" s="2">
        <v>23531</v>
      </c>
      <c r="G29" s="2">
        <v>27945</v>
      </c>
      <c r="H29" s="2">
        <v>30045</v>
      </c>
      <c r="I29" s="2">
        <v>31042</v>
      </c>
      <c r="J29" s="2">
        <v>25674</v>
      </c>
      <c r="K29" s="2">
        <v>30297</v>
      </c>
      <c r="L29" s="2">
        <v>30145</v>
      </c>
      <c r="M29" s="2">
        <v>15149</v>
      </c>
      <c r="N29" s="2">
        <v>5454</v>
      </c>
      <c r="O29" s="2">
        <v>10463</v>
      </c>
      <c r="P29" s="2">
        <f>O29*2</f>
        <v>20926</v>
      </c>
      <c r="Q29" s="2">
        <v>20000</v>
      </c>
      <c r="R29" s="2">
        <v>15000</v>
      </c>
      <c r="S29" s="2">
        <v>15000</v>
      </c>
      <c r="T29" s="2">
        <v>15600</v>
      </c>
      <c r="U29" s="89">
        <f>(T29-Q29)/Q29</f>
        <v>-0.22</v>
      </c>
      <c r="V29" t="s">
        <v>718</v>
      </c>
    </row>
    <row r="30" spans="16:21" ht="12.75">
      <c r="P30" s="2"/>
      <c r="U30" s="89"/>
    </row>
    <row r="31" spans="1:21" ht="12.75">
      <c r="A31" t="s">
        <v>150</v>
      </c>
      <c r="B31" s="4">
        <v>53.12</v>
      </c>
      <c r="C31" s="2">
        <v>23234</v>
      </c>
      <c r="D31" s="2">
        <v>27139</v>
      </c>
      <c r="E31" s="2">
        <v>21920</v>
      </c>
      <c r="F31" s="2">
        <v>20332</v>
      </c>
      <c r="G31" s="2">
        <v>22674</v>
      </c>
      <c r="H31" s="2">
        <v>19984</v>
      </c>
      <c r="I31" s="2">
        <f>21345+2056</f>
        <v>23401</v>
      </c>
      <c r="J31" s="2">
        <v>28344</v>
      </c>
      <c r="K31" s="2">
        <v>41348</v>
      </c>
      <c r="L31" s="2">
        <v>45321</v>
      </c>
      <c r="M31" s="2">
        <v>44482</v>
      </c>
      <c r="N31" s="2">
        <v>43449</v>
      </c>
      <c r="O31" s="2">
        <v>29742</v>
      </c>
      <c r="P31" s="2">
        <f t="shared" si="0"/>
        <v>39656</v>
      </c>
      <c r="Q31" s="2">
        <v>42000</v>
      </c>
      <c r="R31" s="2">
        <v>42000</v>
      </c>
      <c r="S31" s="2">
        <v>35000</v>
      </c>
      <c r="T31" s="2">
        <v>35000</v>
      </c>
      <c r="U31" s="89">
        <f>(T31-Q31)/Q31</f>
        <v>-0.16666666666666666</v>
      </c>
    </row>
    <row r="32" spans="1:21" ht="12.75">
      <c r="A32" t="s">
        <v>297</v>
      </c>
      <c r="B32" s="4">
        <v>53.132</v>
      </c>
      <c r="C32" s="2">
        <v>3113</v>
      </c>
      <c r="D32" s="2">
        <v>6803</v>
      </c>
      <c r="E32" s="2">
        <v>7360</v>
      </c>
      <c r="F32" s="2">
        <v>8843</v>
      </c>
      <c r="G32" s="2">
        <v>9983</v>
      </c>
      <c r="H32" s="2">
        <v>3996</v>
      </c>
      <c r="I32" s="2">
        <f>6027+436</f>
        <v>6463</v>
      </c>
      <c r="J32" s="2">
        <v>6248</v>
      </c>
      <c r="K32" s="2">
        <v>9013</v>
      </c>
      <c r="L32" s="2">
        <f>6620+298</f>
        <v>6918</v>
      </c>
      <c r="M32" s="2">
        <v>3043</v>
      </c>
      <c r="N32" s="2">
        <v>111</v>
      </c>
      <c r="O32" s="2">
        <v>2084</v>
      </c>
      <c r="P32" s="2">
        <f t="shared" si="0"/>
        <v>2778.6666666666665</v>
      </c>
      <c r="Q32" s="2">
        <v>5000</v>
      </c>
      <c r="R32" s="2">
        <v>2500</v>
      </c>
      <c r="S32" s="2">
        <v>2500</v>
      </c>
      <c r="T32" s="2">
        <v>2500</v>
      </c>
      <c r="U32" s="89">
        <f>(T32-Q32)/Q32</f>
        <v>-0.5</v>
      </c>
    </row>
    <row r="33" spans="1:21" ht="12.75">
      <c r="A33" t="s">
        <v>201</v>
      </c>
      <c r="B33" s="4">
        <v>53.1702</v>
      </c>
      <c r="C33" s="2">
        <v>577</v>
      </c>
      <c r="D33" s="2">
        <v>467</v>
      </c>
      <c r="E33" s="2">
        <v>1231</v>
      </c>
      <c r="F33" s="2">
        <v>1100</v>
      </c>
      <c r="G33" s="2">
        <v>1068</v>
      </c>
      <c r="H33" s="2">
        <v>721</v>
      </c>
      <c r="I33" s="2">
        <v>296</v>
      </c>
      <c r="J33" s="2">
        <v>585</v>
      </c>
      <c r="K33" s="2">
        <v>194</v>
      </c>
      <c r="L33" s="2">
        <v>547</v>
      </c>
      <c r="M33" s="2">
        <v>472</v>
      </c>
      <c r="N33" s="2">
        <v>924</v>
      </c>
      <c r="O33" s="2">
        <v>481</v>
      </c>
      <c r="P33" s="2">
        <f>+O33/$O$3*12</f>
        <v>641.3333333333333</v>
      </c>
      <c r="Q33" s="2">
        <v>750</v>
      </c>
      <c r="R33" s="2">
        <v>750</v>
      </c>
      <c r="S33" s="2">
        <v>750</v>
      </c>
      <c r="T33" s="2">
        <v>750</v>
      </c>
      <c r="U33" s="89">
        <f>(T33-Q33)/Q33</f>
        <v>0</v>
      </c>
    </row>
    <row r="34" spans="1:22" ht="12.75">
      <c r="A34" t="s">
        <v>298</v>
      </c>
      <c r="B34" s="4">
        <v>53.1707</v>
      </c>
      <c r="C34" s="2">
        <v>14332</v>
      </c>
      <c r="D34" s="2">
        <v>23324</v>
      </c>
      <c r="E34" s="2">
        <v>18418</v>
      </c>
      <c r="F34" s="2">
        <v>19406</v>
      </c>
      <c r="G34" s="2">
        <v>19507</v>
      </c>
      <c r="H34" s="2">
        <v>24240</v>
      </c>
      <c r="I34" s="2">
        <f>28568+1460</f>
        <v>30028</v>
      </c>
      <c r="J34" s="2">
        <v>24022</v>
      </c>
      <c r="K34" s="2">
        <f>19303+4298</f>
        <v>23601</v>
      </c>
      <c r="L34" s="2">
        <v>7676</v>
      </c>
      <c r="M34" s="2">
        <v>12322</v>
      </c>
      <c r="N34" s="2">
        <v>24700</v>
      </c>
      <c r="O34" s="2">
        <v>1527</v>
      </c>
      <c r="P34" s="2">
        <v>10000</v>
      </c>
      <c r="Q34" s="2">
        <v>10000</v>
      </c>
      <c r="R34" s="2">
        <v>15000</v>
      </c>
      <c r="S34" s="2">
        <v>10000</v>
      </c>
      <c r="T34" s="2">
        <v>10000</v>
      </c>
      <c r="U34" s="89">
        <f>(T34-Q34)/Q34</f>
        <v>0</v>
      </c>
      <c r="V34" t="s">
        <v>575</v>
      </c>
    </row>
    <row r="35" spans="1:22" ht="12.75">
      <c r="A35" t="s">
        <v>299</v>
      </c>
      <c r="B35" s="4">
        <v>53.1708</v>
      </c>
      <c r="C35" s="2">
        <v>2487</v>
      </c>
      <c r="D35" s="2">
        <v>4131</v>
      </c>
      <c r="E35" s="2">
        <v>3442</v>
      </c>
      <c r="F35" s="2">
        <v>3805</v>
      </c>
      <c r="G35" s="2">
        <v>3095</v>
      </c>
      <c r="H35" s="2">
        <v>3347</v>
      </c>
      <c r="I35" s="2">
        <v>1911</v>
      </c>
      <c r="J35" s="2">
        <v>3435</v>
      </c>
      <c r="K35" s="2">
        <v>2872</v>
      </c>
      <c r="L35" s="2">
        <v>3972</v>
      </c>
      <c r="M35" s="2">
        <v>1943</v>
      </c>
      <c r="N35" s="2">
        <v>16</v>
      </c>
      <c r="O35" s="2">
        <v>122</v>
      </c>
      <c r="P35" s="2">
        <f>+O35/$O$3*12</f>
        <v>162.66666666666666</v>
      </c>
      <c r="Q35" s="2">
        <v>2500</v>
      </c>
      <c r="R35" s="2">
        <v>1000</v>
      </c>
      <c r="S35" s="2"/>
      <c r="T35" s="2">
        <v>1000</v>
      </c>
      <c r="U35" s="89">
        <f>(T35-Q35)/Q35</f>
        <v>-0.6</v>
      </c>
      <c r="V35" t="s">
        <v>579</v>
      </c>
    </row>
    <row r="36" spans="1:21" ht="12.75" hidden="1">
      <c r="A36" t="s">
        <v>300</v>
      </c>
      <c r="B36" s="4">
        <v>53.1709</v>
      </c>
      <c r="C36" s="2">
        <v>1366</v>
      </c>
      <c r="D36" s="2">
        <v>1479</v>
      </c>
      <c r="E36" s="2">
        <v>1321</v>
      </c>
      <c r="F36" s="2">
        <v>2177</v>
      </c>
      <c r="G36" s="2"/>
      <c r="H36" s="2">
        <v>331</v>
      </c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  <c r="R36" s="2"/>
      <c r="S36" s="2"/>
      <c r="T36" s="2"/>
      <c r="U36" s="89"/>
    </row>
    <row r="37" spans="1:21" ht="12.75">
      <c r="A37" t="s">
        <v>151</v>
      </c>
      <c r="B37" s="4">
        <v>53.171</v>
      </c>
      <c r="C37" s="2">
        <v>722</v>
      </c>
      <c r="D37" s="2">
        <v>585</v>
      </c>
      <c r="E37" s="2">
        <v>842</v>
      </c>
      <c r="F37" s="2">
        <v>850</v>
      </c>
      <c r="G37" s="2">
        <v>665</v>
      </c>
      <c r="H37" s="2">
        <v>944</v>
      </c>
      <c r="I37" s="2">
        <v>1100</v>
      </c>
      <c r="J37" s="2">
        <v>551</v>
      </c>
      <c r="K37" s="2">
        <v>522</v>
      </c>
      <c r="L37" s="2">
        <v>417</v>
      </c>
      <c r="M37" s="2">
        <v>690</v>
      </c>
      <c r="N37" s="2">
        <v>809</v>
      </c>
      <c r="O37" s="2">
        <v>340</v>
      </c>
      <c r="P37" s="2">
        <f t="shared" si="0"/>
        <v>453.33333333333337</v>
      </c>
      <c r="Q37" s="2">
        <v>500</v>
      </c>
      <c r="R37" s="2">
        <v>250</v>
      </c>
      <c r="S37" s="2">
        <v>250</v>
      </c>
      <c r="T37" s="2">
        <v>250</v>
      </c>
      <c r="U37" s="89">
        <f aca="true" t="shared" si="2" ref="U37:U49">(T37-Q37)/Q37</f>
        <v>-0.5</v>
      </c>
    </row>
    <row r="38" spans="1:21" ht="12.75">
      <c r="A38" t="s">
        <v>301</v>
      </c>
      <c r="B38" s="4">
        <v>53.1712</v>
      </c>
      <c r="C38" s="2">
        <v>416</v>
      </c>
      <c r="D38" s="2">
        <v>659</v>
      </c>
      <c r="E38" s="2">
        <v>593</v>
      </c>
      <c r="F38" s="2">
        <v>829</v>
      </c>
      <c r="G38" s="2">
        <v>150</v>
      </c>
      <c r="H38" s="2">
        <v>315</v>
      </c>
      <c r="I38" s="2">
        <v>727</v>
      </c>
      <c r="J38" s="2">
        <v>740</v>
      </c>
      <c r="K38" s="2">
        <v>92</v>
      </c>
      <c r="L38" s="2">
        <v>179</v>
      </c>
      <c r="M38" s="2"/>
      <c r="N38" s="2"/>
      <c r="O38" s="2"/>
      <c r="P38" s="2">
        <f t="shared" si="0"/>
        <v>0</v>
      </c>
      <c r="Q38" s="2">
        <v>300</v>
      </c>
      <c r="R38" s="2">
        <v>300</v>
      </c>
      <c r="S38" s="2"/>
      <c r="T38" s="2"/>
      <c r="U38" s="89">
        <f t="shared" si="2"/>
        <v>-1</v>
      </c>
    </row>
    <row r="39" spans="1:21" ht="12.75">
      <c r="A39" t="s">
        <v>302</v>
      </c>
      <c r="B39" s="4">
        <v>53.1713</v>
      </c>
      <c r="C39" s="2">
        <v>1819</v>
      </c>
      <c r="D39" s="2">
        <v>1959</v>
      </c>
      <c r="E39" s="2">
        <v>1603</v>
      </c>
      <c r="F39" s="2">
        <v>1915</v>
      </c>
      <c r="G39" s="2">
        <v>2216</v>
      </c>
      <c r="H39" s="2">
        <v>2001</v>
      </c>
      <c r="I39" s="2">
        <v>820</v>
      </c>
      <c r="J39" s="2">
        <v>216</v>
      </c>
      <c r="K39" s="2">
        <v>474</v>
      </c>
      <c r="L39" s="2">
        <v>148</v>
      </c>
      <c r="M39" s="2">
        <v>60</v>
      </c>
      <c r="N39" s="2">
        <v>382</v>
      </c>
      <c r="O39" s="2"/>
      <c r="P39" s="2">
        <f t="shared" si="0"/>
        <v>0</v>
      </c>
      <c r="Q39" s="2">
        <v>200</v>
      </c>
      <c r="R39" s="2">
        <v>500</v>
      </c>
      <c r="S39" s="2">
        <v>300</v>
      </c>
      <c r="T39" s="2">
        <v>300</v>
      </c>
      <c r="U39" s="89">
        <f t="shared" si="2"/>
        <v>0.5</v>
      </c>
    </row>
    <row r="40" spans="1:21" ht="12.75">
      <c r="A40" t="s">
        <v>303</v>
      </c>
      <c r="B40" s="4">
        <v>53.1714</v>
      </c>
      <c r="C40" s="2">
        <v>417</v>
      </c>
      <c r="D40" s="2">
        <v>495</v>
      </c>
      <c r="E40" s="2">
        <v>880</v>
      </c>
      <c r="F40" s="2">
        <v>441</v>
      </c>
      <c r="G40" s="2">
        <v>500</v>
      </c>
      <c r="H40" s="2">
        <v>691</v>
      </c>
      <c r="I40" s="2">
        <v>693</v>
      </c>
      <c r="J40" s="2">
        <v>199</v>
      </c>
      <c r="K40" s="2">
        <v>423</v>
      </c>
      <c r="L40" s="2">
        <v>240</v>
      </c>
      <c r="M40" s="2"/>
      <c r="N40" s="2"/>
      <c r="O40" s="2"/>
      <c r="P40" s="2"/>
      <c r="Q40" s="2"/>
      <c r="R40" s="2"/>
      <c r="S40" s="2"/>
      <c r="T40" s="2"/>
      <c r="U40" s="89"/>
    </row>
    <row r="41" spans="1:21" ht="12.75">
      <c r="A41" t="s">
        <v>979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750</v>
      </c>
      <c r="P41" s="2"/>
      <c r="Q41" s="2">
        <v>1000</v>
      </c>
      <c r="R41" s="2">
        <v>500</v>
      </c>
      <c r="S41" s="2"/>
      <c r="T41" s="2"/>
      <c r="U41" s="89"/>
    </row>
    <row r="42" spans="1:22" ht="12.75">
      <c r="A42" t="s">
        <v>399</v>
      </c>
      <c r="B42" s="4">
        <v>53.1718</v>
      </c>
      <c r="C42" s="2"/>
      <c r="D42" s="2"/>
      <c r="E42" s="2"/>
      <c r="F42" s="2"/>
      <c r="G42" s="2">
        <v>958</v>
      </c>
      <c r="H42" s="2">
        <v>925</v>
      </c>
      <c r="I42" s="2">
        <v>969</v>
      </c>
      <c r="J42" s="2">
        <v>710</v>
      </c>
      <c r="K42" s="2">
        <v>648</v>
      </c>
      <c r="L42" s="2">
        <v>778</v>
      </c>
      <c r="M42" s="2">
        <v>791</v>
      </c>
      <c r="N42" s="2">
        <v>1881</v>
      </c>
      <c r="O42" s="2">
        <v>1302</v>
      </c>
      <c r="P42" s="2">
        <f t="shared" si="0"/>
        <v>1736</v>
      </c>
      <c r="Q42" s="2">
        <v>1000</v>
      </c>
      <c r="R42" s="2">
        <v>750</v>
      </c>
      <c r="S42" s="2">
        <v>750</v>
      </c>
      <c r="T42" s="2">
        <v>750</v>
      </c>
      <c r="U42" s="89">
        <f t="shared" si="2"/>
        <v>-0.25</v>
      </c>
      <c r="V42" t="s">
        <v>575</v>
      </c>
    </row>
    <row r="43" spans="1:21" ht="12.75">
      <c r="A43" t="s">
        <v>304</v>
      </c>
      <c r="B43" s="4">
        <v>53.172</v>
      </c>
      <c r="C43" s="2">
        <v>27989</v>
      </c>
      <c r="D43" s="2">
        <v>11132</v>
      </c>
      <c r="E43" s="2">
        <v>13023</v>
      </c>
      <c r="F43" s="2">
        <v>14225</v>
      </c>
      <c r="G43" s="2">
        <v>15837</v>
      </c>
      <c r="H43" s="2">
        <v>14353</v>
      </c>
      <c r="I43" s="2">
        <f>7919+208</f>
        <v>8127</v>
      </c>
      <c r="J43" s="2">
        <v>16264</v>
      </c>
      <c r="K43" s="2">
        <f>19961+8</f>
        <v>19969</v>
      </c>
      <c r="L43" s="2">
        <f>20321+50</f>
        <v>20371</v>
      </c>
      <c r="M43" s="2">
        <v>18844</v>
      </c>
      <c r="N43" s="2">
        <v>24634</v>
      </c>
      <c r="O43" s="2">
        <v>16707</v>
      </c>
      <c r="P43" s="2">
        <f t="shared" si="0"/>
        <v>22276</v>
      </c>
      <c r="Q43" s="20">
        <v>18000</v>
      </c>
      <c r="R43" s="20">
        <v>20000</v>
      </c>
      <c r="S43" s="20">
        <v>20000</v>
      </c>
      <c r="T43" s="20">
        <v>20000</v>
      </c>
      <c r="U43" s="89">
        <f t="shared" si="2"/>
        <v>0.1111111111111111</v>
      </c>
    </row>
    <row r="44" spans="1:21" ht="12.75">
      <c r="A44" t="s">
        <v>980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250</v>
      </c>
      <c r="R44" s="2">
        <v>1500</v>
      </c>
      <c r="S44" s="2"/>
      <c r="T44" s="2"/>
      <c r="U44" s="89"/>
    </row>
    <row r="45" spans="1:21" ht="12.75">
      <c r="A45" t="s">
        <v>897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125</v>
      </c>
      <c r="M45" s="2"/>
      <c r="N45" s="2"/>
      <c r="O45" s="2"/>
      <c r="P45" s="2"/>
      <c r="Q45" s="2"/>
      <c r="R45" s="2"/>
      <c r="S45" s="2"/>
      <c r="T45" s="2"/>
      <c r="U45" s="89"/>
    </row>
    <row r="46" spans="1:21" ht="12.75">
      <c r="A46" t="s">
        <v>239</v>
      </c>
      <c r="B46" s="4">
        <v>53.174</v>
      </c>
      <c r="C46" s="2"/>
      <c r="D46" s="2">
        <v>16</v>
      </c>
      <c r="E46" s="2">
        <v>550</v>
      </c>
      <c r="F46" s="2">
        <v>830</v>
      </c>
      <c r="G46" s="2">
        <v>1214</v>
      </c>
      <c r="H46" s="2">
        <v>660</v>
      </c>
      <c r="I46" s="2">
        <v>597</v>
      </c>
      <c r="J46" s="2">
        <v>395</v>
      </c>
      <c r="K46" s="2">
        <v>634</v>
      </c>
      <c r="L46" s="2">
        <v>51</v>
      </c>
      <c r="M46" s="2"/>
      <c r="N46" s="2">
        <v>291</v>
      </c>
      <c r="O46" s="2">
        <v>332</v>
      </c>
      <c r="P46" s="2">
        <v>332</v>
      </c>
      <c r="Q46" s="2">
        <v>300</v>
      </c>
      <c r="R46" s="2">
        <v>500</v>
      </c>
      <c r="S46" s="2">
        <v>300</v>
      </c>
      <c r="T46" s="2">
        <v>300</v>
      </c>
      <c r="U46" s="89">
        <f t="shared" si="2"/>
        <v>0</v>
      </c>
    </row>
    <row r="47" spans="1:21" ht="12.75">
      <c r="A47" t="s">
        <v>967</v>
      </c>
      <c r="B47" s="4">
        <v>53.1742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1789</v>
      </c>
      <c r="P47" s="2">
        <v>1500</v>
      </c>
      <c r="Q47" s="2">
        <v>2500</v>
      </c>
      <c r="R47" s="2">
        <v>1000</v>
      </c>
      <c r="S47" s="2">
        <v>1000</v>
      </c>
      <c r="T47" s="2">
        <v>1000</v>
      </c>
      <c r="U47" s="89"/>
    </row>
    <row r="48" spans="1:21" ht="12.75">
      <c r="A48" t="s">
        <v>189</v>
      </c>
      <c r="B48" s="4">
        <v>53.175</v>
      </c>
      <c r="C48" s="2">
        <v>1392</v>
      </c>
      <c r="D48" s="2">
        <v>688</v>
      </c>
      <c r="E48" s="2">
        <v>903</v>
      </c>
      <c r="F48" s="2">
        <v>841</v>
      </c>
      <c r="G48" s="2">
        <v>762</v>
      </c>
      <c r="H48" s="2">
        <v>691</v>
      </c>
      <c r="I48" s="2">
        <v>411</v>
      </c>
      <c r="J48" s="2">
        <v>857</v>
      </c>
      <c r="K48" s="2">
        <v>1096</v>
      </c>
      <c r="L48" s="2">
        <v>942</v>
      </c>
      <c r="M48" s="2">
        <v>903</v>
      </c>
      <c r="N48" s="2">
        <v>5212</v>
      </c>
      <c r="O48" s="2">
        <v>2464</v>
      </c>
      <c r="P48" s="2">
        <f t="shared" si="0"/>
        <v>3285.333333333333</v>
      </c>
      <c r="Q48" s="2">
        <v>1500</v>
      </c>
      <c r="R48" s="2">
        <v>2500</v>
      </c>
      <c r="S48" s="2">
        <v>2500</v>
      </c>
      <c r="T48" s="2">
        <v>2500</v>
      </c>
      <c r="U48" s="89">
        <f t="shared" si="2"/>
        <v>0.6666666666666666</v>
      </c>
    </row>
    <row r="49" spans="1:21" ht="12.75">
      <c r="A49" t="s">
        <v>178</v>
      </c>
      <c r="B49" s="4">
        <v>53.176</v>
      </c>
      <c r="C49" s="2">
        <v>234</v>
      </c>
      <c r="D49" s="2">
        <v>82</v>
      </c>
      <c r="E49" s="2">
        <v>80</v>
      </c>
      <c r="F49" s="2">
        <v>88</v>
      </c>
      <c r="G49" s="2">
        <v>101</v>
      </c>
      <c r="H49" s="2">
        <v>25</v>
      </c>
      <c r="I49" s="2">
        <v>94</v>
      </c>
      <c r="J49" s="2">
        <v>91</v>
      </c>
      <c r="K49" s="2">
        <v>126</v>
      </c>
      <c r="L49" s="2">
        <v>112</v>
      </c>
      <c r="M49" s="2">
        <v>30</v>
      </c>
      <c r="N49" s="2">
        <v>137</v>
      </c>
      <c r="O49" s="2">
        <v>160</v>
      </c>
      <c r="P49" s="2">
        <f t="shared" si="0"/>
        <v>213.33333333333334</v>
      </c>
      <c r="Q49" s="2">
        <v>125</v>
      </c>
      <c r="R49" s="2">
        <v>125</v>
      </c>
      <c r="S49" s="2">
        <v>125</v>
      </c>
      <c r="T49" s="2">
        <v>125</v>
      </c>
      <c r="U49" s="89">
        <f t="shared" si="2"/>
        <v>0</v>
      </c>
    </row>
    <row r="50" spans="1:21" ht="12.75">
      <c r="A50" t="s">
        <v>179</v>
      </c>
      <c r="B50" s="4">
        <v>53.177</v>
      </c>
      <c r="C50" s="2">
        <v>118</v>
      </c>
      <c r="D50" s="2">
        <v>345</v>
      </c>
      <c r="E50" s="2">
        <v>226</v>
      </c>
      <c r="F50" s="2">
        <v>264</v>
      </c>
      <c r="G50" s="2">
        <v>43</v>
      </c>
      <c r="H50" s="2"/>
      <c r="I50" s="2"/>
      <c r="J50" s="2">
        <v>748</v>
      </c>
      <c r="K50" s="2">
        <v>9</v>
      </c>
      <c r="L50" s="2">
        <v>401</v>
      </c>
      <c r="M50" s="2"/>
      <c r="N50" s="2">
        <v>221</v>
      </c>
      <c r="O50" s="11">
        <v>682</v>
      </c>
      <c r="P50" s="2">
        <f t="shared" si="0"/>
        <v>909.3333333333333</v>
      </c>
      <c r="Q50" s="2">
        <v>300</v>
      </c>
      <c r="R50" s="2">
        <v>300</v>
      </c>
      <c r="S50" s="2">
        <v>300</v>
      </c>
      <c r="T50" s="2">
        <v>300</v>
      </c>
      <c r="U50" s="89"/>
    </row>
    <row r="51" spans="1:21" ht="12.75">
      <c r="A51" t="s">
        <v>192</v>
      </c>
      <c r="B51" s="4">
        <v>53.178</v>
      </c>
      <c r="C51" s="2">
        <v>82</v>
      </c>
      <c r="D51" s="2">
        <v>87</v>
      </c>
      <c r="E51" s="2"/>
      <c r="F51" s="2">
        <v>110</v>
      </c>
      <c r="G51" s="2"/>
      <c r="H51" s="2">
        <v>82</v>
      </c>
      <c r="I51" s="2"/>
      <c r="J51" s="2"/>
      <c r="K51" s="2">
        <v>2288</v>
      </c>
      <c r="L51" s="2"/>
      <c r="M51" s="2"/>
      <c r="N51" s="2">
        <v>128</v>
      </c>
      <c r="O51" s="2">
        <v>257</v>
      </c>
      <c r="P51" s="2">
        <f t="shared" si="0"/>
        <v>342.6666666666667</v>
      </c>
      <c r="Q51" s="2"/>
      <c r="R51" s="2">
        <v>150</v>
      </c>
      <c r="S51" s="2">
        <v>150</v>
      </c>
      <c r="T51" s="2">
        <v>150</v>
      </c>
      <c r="U51" s="89"/>
    </row>
    <row r="52" spans="1:21" ht="12.75">
      <c r="A52" t="s">
        <v>180</v>
      </c>
      <c r="B52" s="4">
        <v>53.179</v>
      </c>
      <c r="C52" s="2">
        <v>635</v>
      </c>
      <c r="D52" s="2">
        <v>1069</v>
      </c>
      <c r="E52" s="2">
        <v>1260</v>
      </c>
      <c r="F52" s="2">
        <v>817</v>
      </c>
      <c r="G52" s="2">
        <v>1189</v>
      </c>
      <c r="H52" s="2">
        <v>1168</v>
      </c>
      <c r="I52" s="2">
        <v>1893</v>
      </c>
      <c r="J52" s="2">
        <v>1971</v>
      </c>
      <c r="K52" s="2">
        <v>169</v>
      </c>
      <c r="L52" s="2">
        <v>4137</v>
      </c>
      <c r="M52" s="2">
        <v>2989</v>
      </c>
      <c r="N52" s="2">
        <v>3289</v>
      </c>
      <c r="O52" s="2">
        <v>4673</v>
      </c>
      <c r="P52" s="2">
        <f t="shared" si="0"/>
        <v>6230.666666666666</v>
      </c>
      <c r="Q52" s="2">
        <v>3000</v>
      </c>
      <c r="R52" s="2">
        <v>5000</v>
      </c>
      <c r="S52" s="2">
        <v>5000</v>
      </c>
      <c r="T52" s="2">
        <v>5000</v>
      </c>
      <c r="U52" s="89">
        <f>(T52-Q52)/Q52</f>
        <v>0.6666666666666666</v>
      </c>
    </row>
    <row r="53" spans="1:21" ht="12.75">
      <c r="A53" t="s">
        <v>241</v>
      </c>
      <c r="B53" s="4">
        <v>53.18</v>
      </c>
      <c r="C53" s="2">
        <v>81</v>
      </c>
      <c r="D53" s="2">
        <v>113</v>
      </c>
      <c r="E53" s="2">
        <v>101</v>
      </c>
      <c r="F53" s="2">
        <v>75</v>
      </c>
      <c r="G53" s="2">
        <v>37</v>
      </c>
      <c r="H53" s="2"/>
      <c r="I53" s="2">
        <v>58</v>
      </c>
      <c r="J53" s="2">
        <v>192</v>
      </c>
      <c r="K53" s="2"/>
      <c r="L53" s="2">
        <v>342</v>
      </c>
      <c r="M53" s="2">
        <v>314</v>
      </c>
      <c r="N53" s="2">
        <v>132</v>
      </c>
      <c r="O53" s="11">
        <v>413</v>
      </c>
      <c r="P53" s="2">
        <f t="shared" si="0"/>
        <v>550.6666666666666</v>
      </c>
      <c r="Q53" s="2">
        <v>500</v>
      </c>
      <c r="R53" s="2">
        <v>500</v>
      </c>
      <c r="S53" s="2">
        <v>500</v>
      </c>
      <c r="T53" s="2">
        <v>500</v>
      </c>
      <c r="U53" s="89"/>
    </row>
    <row r="54" spans="2:23" ht="12.75">
      <c r="B54" s="4"/>
      <c r="C54" s="2"/>
      <c r="D54" s="2"/>
      <c r="E54" s="2"/>
      <c r="F54" s="2"/>
      <c r="G54" s="2"/>
      <c r="H54" s="2"/>
      <c r="I54" s="2">
        <v>18</v>
      </c>
      <c r="J54" s="2"/>
      <c r="K54" s="2"/>
      <c r="L54" s="2"/>
      <c r="M54" s="2"/>
      <c r="N54" s="2"/>
      <c r="O54" s="11"/>
      <c r="P54" s="2"/>
      <c r="Q54" s="2"/>
      <c r="R54" s="2"/>
      <c r="S54" s="2"/>
      <c r="T54" s="2"/>
      <c r="U54" s="89"/>
      <c r="W54" s="2"/>
    </row>
    <row r="55" spans="1:21" ht="12.75">
      <c r="A55" t="s">
        <v>557</v>
      </c>
      <c r="B55" s="4">
        <v>54.24</v>
      </c>
      <c r="C55" s="2"/>
      <c r="D55" s="2"/>
      <c r="E55" s="2"/>
      <c r="F55" s="2"/>
      <c r="G55" s="2"/>
      <c r="H55" s="2"/>
      <c r="I55" s="2">
        <v>534</v>
      </c>
      <c r="J55" s="2"/>
      <c r="K55" s="2"/>
      <c r="L55" s="2"/>
      <c r="M55" s="2"/>
      <c r="N55" s="2">
        <v>1636</v>
      </c>
      <c r="O55" s="2"/>
      <c r="P55" s="2"/>
      <c r="Q55" s="2"/>
      <c r="R55" s="2"/>
      <c r="S55" s="2"/>
      <c r="T55" s="2"/>
      <c r="U55" s="89"/>
    </row>
    <row r="56" spans="1:21" ht="12.75" hidden="1">
      <c r="A56" t="s">
        <v>357</v>
      </c>
      <c r="B56" s="4">
        <v>54.25</v>
      </c>
      <c r="C56" s="2"/>
      <c r="D56" s="2">
        <v>24788</v>
      </c>
      <c r="E56" s="2">
        <v>3233</v>
      </c>
      <c r="F56" s="2">
        <v>12167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9"/>
    </row>
    <row r="57" spans="2:21" ht="12.7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89"/>
    </row>
    <row r="58" spans="2:22" ht="0.75" customHeight="1" hidden="1"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70"/>
      <c r="V58" s="2"/>
    </row>
    <row r="59" spans="1:21" ht="12.75" hidden="1">
      <c r="A59" t="s">
        <v>757</v>
      </c>
      <c r="B59" s="4"/>
      <c r="C59" s="2"/>
      <c r="D59" s="2"/>
      <c r="E59" s="2"/>
      <c r="F59" s="2"/>
      <c r="G59" s="2"/>
      <c r="H59" s="2"/>
      <c r="I59" s="2"/>
      <c r="J59" s="2">
        <v>19200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89"/>
    </row>
    <row r="60" spans="1:21" ht="12.75" hidden="1">
      <c r="A60" t="s">
        <v>63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89"/>
    </row>
    <row r="61" spans="1:21" ht="12.75">
      <c r="A61" t="s">
        <v>64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2">
        <v>350</v>
      </c>
      <c r="M61" s="2"/>
      <c r="N61" s="2"/>
      <c r="O61" s="2"/>
      <c r="P61" s="2"/>
      <c r="Q61" s="2"/>
      <c r="R61" s="2"/>
      <c r="S61" s="2"/>
      <c r="T61" s="2"/>
      <c r="U61" s="89"/>
    </row>
    <row r="62" spans="2:21" ht="12.75"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9"/>
    </row>
    <row r="63" spans="1:21" ht="12.75" hidden="1">
      <c r="A63" t="s">
        <v>505</v>
      </c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51"/>
    </row>
    <row r="64" spans="1:21" ht="12.75" hidden="1">
      <c r="A64" t="s">
        <v>506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"/>
      <c r="S64" s="5"/>
      <c r="T64" s="5"/>
      <c r="U64" s="51"/>
    </row>
    <row r="65" spans="1:21" ht="12.75">
      <c r="A65" s="6" t="s">
        <v>119</v>
      </c>
      <c r="B65" s="6"/>
      <c r="C65" s="7">
        <f aca="true" t="shared" si="3" ref="C65:I65">SUM(C7:C64)</f>
        <v>166725</v>
      </c>
      <c r="D65" s="8">
        <f t="shared" si="3"/>
        <v>201685</v>
      </c>
      <c r="E65" s="8">
        <f t="shared" si="3"/>
        <v>189189</v>
      </c>
      <c r="F65" s="8">
        <f t="shared" si="3"/>
        <v>209065</v>
      </c>
      <c r="G65" s="8">
        <f t="shared" si="3"/>
        <v>211057</v>
      </c>
      <c r="H65" s="8">
        <f t="shared" si="3"/>
        <v>215056</v>
      </c>
      <c r="I65" s="8">
        <f t="shared" si="3"/>
        <v>220974</v>
      </c>
      <c r="J65" s="8">
        <v>251537</v>
      </c>
      <c r="K65" s="8">
        <f aca="true" t="shared" si="4" ref="K65:S65">SUM(K7:K64)</f>
        <v>271364</v>
      </c>
      <c r="L65" s="8">
        <v>248741</v>
      </c>
      <c r="M65" s="8">
        <v>237680</v>
      </c>
      <c r="N65" s="8">
        <v>219940</v>
      </c>
      <c r="O65" s="8">
        <f>SUM(O7:O64)</f>
        <v>167894</v>
      </c>
      <c r="P65" s="8">
        <f t="shared" si="4"/>
        <v>245117.33333333334</v>
      </c>
      <c r="Q65" s="8">
        <f t="shared" si="4"/>
        <v>243060.752</v>
      </c>
      <c r="R65" s="8">
        <f t="shared" si="4"/>
        <v>285722.6235</v>
      </c>
      <c r="S65" s="8">
        <f t="shared" si="4"/>
        <v>224344.1235</v>
      </c>
      <c r="T65" s="8">
        <f>SUM(T7:T64)</f>
        <v>225944.1235</v>
      </c>
      <c r="U65" s="52">
        <f>(T65-Q65)/Q65</f>
        <v>-0.07042119453329108</v>
      </c>
    </row>
    <row r="67" spans="17:19" ht="12.75">
      <c r="Q67" s="22" t="s">
        <v>484</v>
      </c>
      <c r="R67" s="22"/>
      <c r="S67" s="55">
        <f>R65-S65</f>
        <v>61378.5</v>
      </c>
    </row>
    <row r="68" spans="17:19" ht="12.75">
      <c r="Q68" s="22" t="s">
        <v>725</v>
      </c>
      <c r="R68" s="22"/>
      <c r="S68" s="55">
        <f>Q65-S65</f>
        <v>18716.62850000002</v>
      </c>
    </row>
    <row r="69" spans="1:19" ht="12.75">
      <c r="A69" s="22" t="s">
        <v>1053</v>
      </c>
      <c r="B69" s="4"/>
      <c r="Q69" s="22" t="s">
        <v>432</v>
      </c>
      <c r="R69" s="22"/>
      <c r="S69" s="55">
        <f>S65-T65</f>
        <v>-1600</v>
      </c>
    </row>
    <row r="70" spans="1:19" ht="12.75">
      <c r="A70" t="s">
        <v>1054</v>
      </c>
      <c r="B70" s="4"/>
      <c r="Q70" s="22"/>
      <c r="R70" s="22"/>
      <c r="S70" s="55"/>
    </row>
    <row r="71" spans="1:19" ht="12.75">
      <c r="A71" t="s">
        <v>27</v>
      </c>
      <c r="B71" s="4"/>
      <c r="Q71" s="22"/>
      <c r="R71" s="22"/>
      <c r="S71" s="55"/>
    </row>
    <row r="72" spans="1:20" ht="12.75">
      <c r="A72" t="s">
        <v>28</v>
      </c>
      <c r="R72" s="18"/>
      <c r="S72" s="18"/>
      <c r="T72" s="18"/>
    </row>
    <row r="73" spans="1:20" ht="12.75">
      <c r="A73" t="s">
        <v>29</v>
      </c>
      <c r="R73" s="18"/>
      <c r="S73" s="18"/>
      <c r="T73" s="18"/>
    </row>
    <row r="74" spans="2:19" ht="12.75">
      <c r="B74" s="4"/>
      <c r="Q74" s="22"/>
      <c r="R74" s="22"/>
      <c r="S74" s="55"/>
    </row>
    <row r="77" ht="12.75">
      <c r="A77" s="6" t="s">
        <v>887</v>
      </c>
    </row>
    <row r="78" spans="1:20" ht="12.75">
      <c r="A78" s="40" t="s">
        <v>850</v>
      </c>
      <c r="B78" s="41">
        <v>34.721</v>
      </c>
      <c r="C78" s="42">
        <v>1650</v>
      </c>
      <c r="D78" s="42">
        <v>1620</v>
      </c>
      <c r="E78" s="42">
        <v>970</v>
      </c>
      <c r="F78" s="42">
        <v>2030</v>
      </c>
      <c r="G78" s="42">
        <v>1365</v>
      </c>
      <c r="H78" s="42">
        <v>1305</v>
      </c>
      <c r="I78" s="42">
        <v>1925</v>
      </c>
      <c r="J78" s="42">
        <v>2540</v>
      </c>
      <c r="K78" s="42">
        <v>3546</v>
      </c>
      <c r="L78" s="42">
        <v>8607</v>
      </c>
      <c r="M78" s="22">
        <v>3488</v>
      </c>
      <c r="N78" s="42">
        <v>3600</v>
      </c>
      <c r="O78" s="43">
        <v>1225</v>
      </c>
      <c r="P78" s="2">
        <f aca="true" t="shared" si="5" ref="P78:P95">+O78/$O$3*12</f>
        <v>1633.3333333333335</v>
      </c>
      <c r="Q78" s="40"/>
      <c r="R78" s="41"/>
      <c r="T78" s="5"/>
    </row>
    <row r="79" spans="1:20" ht="12.75">
      <c r="A79" s="40" t="s">
        <v>851</v>
      </c>
      <c r="B79" s="41">
        <v>34.7212</v>
      </c>
      <c r="C79" s="42">
        <v>1295</v>
      </c>
      <c r="D79" s="42"/>
      <c r="E79" s="42">
        <v>597</v>
      </c>
      <c r="F79" s="42">
        <v>2759</v>
      </c>
      <c r="G79" s="42">
        <v>75</v>
      </c>
      <c r="H79" s="42"/>
      <c r="I79" s="42"/>
      <c r="J79" s="42"/>
      <c r="K79" s="42">
        <v>1050</v>
      </c>
      <c r="L79" s="42"/>
      <c r="M79" s="42"/>
      <c r="N79" s="42">
        <v>250</v>
      </c>
      <c r="O79">
        <v>1075</v>
      </c>
      <c r="P79" s="2">
        <f t="shared" si="5"/>
        <v>1433.3333333333333</v>
      </c>
      <c r="Q79" s="40"/>
      <c r="R79" s="41"/>
      <c r="T79" s="5"/>
    </row>
    <row r="80" spans="1:19" ht="12.75">
      <c r="A80" s="40" t="s">
        <v>852</v>
      </c>
      <c r="B80" s="41">
        <v>34.731</v>
      </c>
      <c r="C80" s="42">
        <v>2200</v>
      </c>
      <c r="D80" s="42">
        <v>4254</v>
      </c>
      <c r="E80" s="42">
        <v>4234</v>
      </c>
      <c r="F80" s="42">
        <v>2673</v>
      </c>
      <c r="G80" s="42">
        <v>3479</v>
      </c>
      <c r="H80" s="42">
        <v>3785</v>
      </c>
      <c r="I80" s="42">
        <v>5391</v>
      </c>
      <c r="J80" s="42">
        <v>6709</v>
      </c>
      <c r="K80" s="42">
        <v>7277</v>
      </c>
      <c r="L80" s="42">
        <v>6983</v>
      </c>
      <c r="M80" s="31">
        <v>4359.4</v>
      </c>
      <c r="N80" s="42">
        <v>3863</v>
      </c>
      <c r="O80" s="43">
        <v>7090</v>
      </c>
      <c r="P80" s="2">
        <v>7100</v>
      </c>
      <c r="Q80" s="40"/>
      <c r="R80" s="41"/>
      <c r="S80" s="42"/>
    </row>
    <row r="81" spans="1:20" ht="12.75" hidden="1">
      <c r="A81" s="40" t="s">
        <v>518</v>
      </c>
      <c r="B81" s="41">
        <v>34.7312</v>
      </c>
      <c r="C81" s="42"/>
      <c r="D81" s="42"/>
      <c r="E81" s="42"/>
      <c r="F81" s="42">
        <v>1708</v>
      </c>
      <c r="G81" s="42"/>
      <c r="H81" s="42"/>
      <c r="I81" s="42"/>
      <c r="J81" s="42"/>
      <c r="K81" s="42"/>
      <c r="L81" s="42"/>
      <c r="M81" s="42"/>
      <c r="N81" s="42"/>
      <c r="P81" s="2">
        <f t="shared" si="5"/>
        <v>0</v>
      </c>
      <c r="Q81" s="40"/>
      <c r="R81" s="41"/>
      <c r="T81" s="5"/>
    </row>
    <row r="82" spans="1:20" ht="12.75">
      <c r="A82" s="44" t="s">
        <v>853</v>
      </c>
      <c r="B82" s="41">
        <v>34.7315</v>
      </c>
      <c r="C82" s="42"/>
      <c r="D82" s="42"/>
      <c r="E82" s="42"/>
      <c r="F82" s="42">
        <v>10185</v>
      </c>
      <c r="G82" s="42">
        <v>12638</v>
      </c>
      <c r="H82" s="42">
        <v>10915</v>
      </c>
      <c r="I82" s="42">
        <v>11235</v>
      </c>
      <c r="J82" s="42">
        <v>7804</v>
      </c>
      <c r="K82" s="42">
        <v>10904</v>
      </c>
      <c r="L82" s="42">
        <v>4360</v>
      </c>
      <c r="M82" s="31">
        <v>6031</v>
      </c>
      <c r="N82" s="42">
        <v>3820</v>
      </c>
      <c r="O82" s="43">
        <v>5960</v>
      </c>
      <c r="P82" s="2">
        <f t="shared" si="5"/>
        <v>7946.666666666666</v>
      </c>
      <c r="Q82" s="40"/>
      <c r="R82" s="41"/>
      <c r="S82" s="42"/>
      <c r="T82" s="5"/>
    </row>
    <row r="83" spans="1:20" ht="12.75">
      <c r="A83" s="44" t="s">
        <v>858</v>
      </c>
      <c r="B83" s="41">
        <v>34.7318</v>
      </c>
      <c r="C83" s="42"/>
      <c r="D83" s="42"/>
      <c r="E83" s="42"/>
      <c r="F83" s="42"/>
      <c r="G83" s="42"/>
      <c r="H83" s="42">
        <v>2750</v>
      </c>
      <c r="I83" s="42">
        <v>2072</v>
      </c>
      <c r="J83" s="42">
        <v>1709</v>
      </c>
      <c r="K83" s="42">
        <v>1366</v>
      </c>
      <c r="L83" s="42">
        <v>1050</v>
      </c>
      <c r="M83" s="42"/>
      <c r="N83" s="42"/>
      <c r="P83" s="2">
        <f t="shared" si="5"/>
        <v>0</v>
      </c>
      <c r="Q83" s="44"/>
      <c r="R83" s="41"/>
      <c r="T83" s="5"/>
    </row>
    <row r="84" spans="1:19" ht="12.75" hidden="1">
      <c r="A84" s="40" t="s">
        <v>857</v>
      </c>
      <c r="B84" s="41">
        <v>34.732</v>
      </c>
      <c r="C84" s="42">
        <v>497</v>
      </c>
      <c r="D84" s="42"/>
      <c r="E84" s="42"/>
      <c r="F84" s="42">
        <v>728</v>
      </c>
      <c r="G84" s="42"/>
      <c r="H84" s="42">
        <v>125</v>
      </c>
      <c r="I84" s="42"/>
      <c r="J84" s="42"/>
      <c r="K84" s="42"/>
      <c r="L84" s="42"/>
      <c r="M84" s="42"/>
      <c r="N84" s="42"/>
      <c r="P84" s="2">
        <f t="shared" si="5"/>
        <v>0</v>
      </c>
      <c r="Q84" s="44"/>
      <c r="R84" s="41"/>
      <c r="S84" s="42"/>
    </row>
    <row r="85" spans="1:20" ht="12.75" hidden="1">
      <c r="A85" s="40" t="s">
        <v>856</v>
      </c>
      <c r="B85" s="41">
        <v>34.733</v>
      </c>
      <c r="C85" s="42" t="s">
        <v>130</v>
      </c>
      <c r="D85" s="42">
        <v>900</v>
      </c>
      <c r="E85" s="42">
        <v>2056</v>
      </c>
      <c r="F85" s="42">
        <v>2337</v>
      </c>
      <c r="G85" s="42">
        <v>187</v>
      </c>
      <c r="H85" s="42"/>
      <c r="I85" s="42">
        <v>400</v>
      </c>
      <c r="J85" s="42"/>
      <c r="K85" s="42"/>
      <c r="L85" s="42"/>
      <c r="M85" s="42"/>
      <c r="N85" s="42"/>
      <c r="P85" s="2">
        <f t="shared" si="5"/>
        <v>0</v>
      </c>
      <c r="Q85" s="40"/>
      <c r="R85" s="41"/>
      <c r="S85" s="42"/>
      <c r="T85" s="5"/>
    </row>
    <row r="86" spans="1:20" ht="12.75">
      <c r="A86" s="40" t="s">
        <v>958</v>
      </c>
      <c r="B86" s="41">
        <v>34.75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>
        <v>90</v>
      </c>
      <c r="P86" s="2">
        <f t="shared" si="5"/>
        <v>0</v>
      </c>
      <c r="Q86" s="40"/>
      <c r="R86" s="41"/>
      <c r="S86" s="42"/>
      <c r="T86" s="5"/>
    </row>
    <row r="87" spans="1:20" ht="12.75">
      <c r="A87" s="40" t="s">
        <v>855</v>
      </c>
      <c r="B87" s="41">
        <v>34.751</v>
      </c>
      <c r="C87" s="42">
        <v>10240</v>
      </c>
      <c r="D87" s="42">
        <v>10084</v>
      </c>
      <c r="E87" s="42">
        <v>1700</v>
      </c>
      <c r="F87" s="42">
        <v>9603</v>
      </c>
      <c r="G87" s="42">
        <v>10414</v>
      </c>
      <c r="H87" s="42">
        <v>11535</v>
      </c>
      <c r="I87" s="42">
        <v>8270</v>
      </c>
      <c r="J87" s="42">
        <v>10284</v>
      </c>
      <c r="K87" s="42">
        <v>10025</v>
      </c>
      <c r="L87" s="42">
        <v>8607</v>
      </c>
      <c r="M87" s="22">
        <v>6911</v>
      </c>
      <c r="N87" s="42">
        <v>11231</v>
      </c>
      <c r="O87" s="43">
        <v>4465</v>
      </c>
      <c r="P87" s="2">
        <v>8000</v>
      </c>
      <c r="Q87" s="40"/>
      <c r="R87" s="41"/>
      <c r="S87" s="42"/>
      <c r="T87" s="5"/>
    </row>
    <row r="88" spans="1:16" ht="12.75">
      <c r="A88" s="22" t="s">
        <v>248</v>
      </c>
      <c r="B88" s="22">
        <v>34.7515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22">
        <v>1308</v>
      </c>
      <c r="P88" s="2">
        <f t="shared" si="5"/>
        <v>0</v>
      </c>
    </row>
    <row r="89" spans="1:20" ht="12.75">
      <c r="A89" s="40" t="s">
        <v>854</v>
      </c>
      <c r="B89" s="41">
        <v>34.752</v>
      </c>
      <c r="C89" s="42">
        <v>3720</v>
      </c>
      <c r="D89" s="42">
        <v>3720</v>
      </c>
      <c r="E89" s="42">
        <v>3900</v>
      </c>
      <c r="F89" s="42">
        <v>4200</v>
      </c>
      <c r="G89" s="42">
        <v>3232</v>
      </c>
      <c r="H89" s="42">
        <v>3300</v>
      </c>
      <c r="I89" s="42">
        <v>3080</v>
      </c>
      <c r="J89" s="42">
        <v>2660</v>
      </c>
      <c r="K89" s="42">
        <v>2649</v>
      </c>
      <c r="L89" s="42">
        <v>2968</v>
      </c>
      <c r="M89" s="42"/>
      <c r="N89" s="42"/>
      <c r="P89" s="2">
        <f t="shared" si="5"/>
        <v>0</v>
      </c>
      <c r="Q89" s="40"/>
      <c r="R89" s="41"/>
      <c r="T89" s="5"/>
    </row>
    <row r="90" spans="1:19" ht="12.75">
      <c r="A90" s="44" t="s">
        <v>533</v>
      </c>
      <c r="B90" s="41">
        <v>34.753</v>
      </c>
      <c r="C90" s="42"/>
      <c r="D90" s="42"/>
      <c r="E90" s="42">
        <v>7280</v>
      </c>
      <c r="F90" s="42"/>
      <c r="G90" s="42">
        <v>260</v>
      </c>
      <c r="H90" s="42"/>
      <c r="I90" s="42">
        <v>2797</v>
      </c>
      <c r="J90" s="42"/>
      <c r="K90" s="42"/>
      <c r="L90" s="42"/>
      <c r="M90" s="22">
        <v>2409</v>
      </c>
      <c r="N90" s="42"/>
      <c r="P90" s="2">
        <f t="shared" si="5"/>
        <v>0</v>
      </c>
      <c r="Q90" s="40"/>
      <c r="R90" s="41"/>
      <c r="S90" s="42"/>
    </row>
    <row r="91" spans="1:19" ht="12.75">
      <c r="A91" s="40" t="s">
        <v>859</v>
      </c>
      <c r="B91" s="41">
        <v>34.754</v>
      </c>
      <c r="C91" s="42">
        <v>3184</v>
      </c>
      <c r="D91" s="42">
        <v>1846</v>
      </c>
      <c r="E91" s="42">
        <v>944</v>
      </c>
      <c r="F91" s="42">
        <v>1955</v>
      </c>
      <c r="G91" s="42">
        <v>2600</v>
      </c>
      <c r="H91" s="42">
        <v>2185</v>
      </c>
      <c r="I91" s="42"/>
      <c r="J91" s="42">
        <v>801</v>
      </c>
      <c r="K91" s="42">
        <v>1308</v>
      </c>
      <c r="L91" s="42">
        <v>1396</v>
      </c>
      <c r="M91" s="22">
        <v>1803</v>
      </c>
      <c r="N91" s="42"/>
      <c r="O91" s="2"/>
      <c r="P91" s="2">
        <f t="shared" si="5"/>
        <v>0</v>
      </c>
      <c r="Q91" s="40"/>
      <c r="R91" s="41"/>
      <c r="S91" s="42"/>
    </row>
    <row r="92" spans="1:20" ht="12.75">
      <c r="A92" s="40" t="s">
        <v>860</v>
      </c>
      <c r="B92" s="41">
        <v>34.791</v>
      </c>
      <c r="C92" s="42">
        <v>4236</v>
      </c>
      <c r="D92" s="42">
        <v>7396</v>
      </c>
      <c r="E92" s="42">
        <v>6413</v>
      </c>
      <c r="F92" s="42">
        <v>5837</v>
      </c>
      <c r="G92" s="42">
        <v>8102</v>
      </c>
      <c r="H92" s="42">
        <v>7101</v>
      </c>
      <c r="I92" s="42">
        <v>12177</v>
      </c>
      <c r="J92" s="42">
        <v>10166</v>
      </c>
      <c r="K92" s="42">
        <v>9118</v>
      </c>
      <c r="L92" s="42">
        <v>9981</v>
      </c>
      <c r="M92" s="139">
        <v>4346.1</v>
      </c>
      <c r="N92" s="42">
        <v>6183</v>
      </c>
      <c r="O92" s="2">
        <v>6027</v>
      </c>
      <c r="P92" s="2">
        <f t="shared" si="5"/>
        <v>8036</v>
      </c>
      <c r="Q92" s="44"/>
      <c r="R92" s="41"/>
      <c r="S92" s="42"/>
      <c r="T92" s="5"/>
    </row>
    <row r="93" spans="1:20" ht="12.75">
      <c r="A93" s="40" t="s">
        <v>861</v>
      </c>
      <c r="B93" s="41">
        <v>34.792</v>
      </c>
      <c r="C93" s="42">
        <v>1739</v>
      </c>
      <c r="D93" s="42">
        <v>2200</v>
      </c>
      <c r="E93" s="42">
        <v>2330</v>
      </c>
      <c r="F93" s="42">
        <v>2525</v>
      </c>
      <c r="G93" s="42">
        <v>2300</v>
      </c>
      <c r="H93" s="42">
        <v>2050</v>
      </c>
      <c r="I93" s="42">
        <v>2072</v>
      </c>
      <c r="J93" s="42">
        <v>1185</v>
      </c>
      <c r="K93" s="42">
        <v>1655</v>
      </c>
      <c r="L93" s="42">
        <v>2542</v>
      </c>
      <c r="M93" s="22">
        <v>1100</v>
      </c>
      <c r="N93" s="42"/>
      <c r="O93" s="2"/>
      <c r="P93" s="2">
        <f t="shared" si="5"/>
        <v>0</v>
      </c>
      <c r="Q93" s="40"/>
      <c r="R93" s="41"/>
      <c r="S93" s="42"/>
      <c r="T93" s="5"/>
    </row>
    <row r="94" spans="1:19" ht="12.75">
      <c r="A94" s="40" t="s">
        <v>862</v>
      </c>
      <c r="B94" s="41">
        <v>34.793</v>
      </c>
      <c r="C94" s="42">
        <v>3590</v>
      </c>
      <c r="D94" s="42">
        <v>3650</v>
      </c>
      <c r="E94" s="42">
        <v>1850</v>
      </c>
      <c r="F94" s="42">
        <v>3650</v>
      </c>
      <c r="G94" s="42">
        <v>3830</v>
      </c>
      <c r="H94" s="42">
        <v>1900</v>
      </c>
      <c r="I94" s="42">
        <v>8019</v>
      </c>
      <c r="J94" s="42">
        <v>6592</v>
      </c>
      <c r="K94" s="42">
        <v>5857</v>
      </c>
      <c r="L94" s="42">
        <v>6341</v>
      </c>
      <c r="M94" s="22">
        <v>1501</v>
      </c>
      <c r="N94" s="42">
        <v>2450</v>
      </c>
      <c r="O94" s="43">
        <v>600</v>
      </c>
      <c r="P94" s="2">
        <f t="shared" si="5"/>
        <v>800</v>
      </c>
      <c r="Q94" s="44"/>
      <c r="R94" s="41"/>
      <c r="S94" s="42"/>
    </row>
    <row r="95" spans="1:20" ht="12.75">
      <c r="A95" s="40" t="s">
        <v>871</v>
      </c>
      <c r="B95" s="41">
        <v>37.114</v>
      </c>
      <c r="C95" s="42">
        <v>536</v>
      </c>
      <c r="D95" s="22"/>
      <c r="E95" s="42"/>
      <c r="F95" s="42"/>
      <c r="G95" t="s">
        <v>656</v>
      </c>
      <c r="H95" s="42"/>
      <c r="I95" s="42"/>
      <c r="J95" s="42">
        <v>303</v>
      </c>
      <c r="K95" s="42">
        <v>2052</v>
      </c>
      <c r="L95" s="42"/>
      <c r="M95" s="42"/>
      <c r="N95" s="42">
        <v>525</v>
      </c>
      <c r="P95" s="2">
        <f t="shared" si="5"/>
        <v>0</v>
      </c>
      <c r="Q95" s="44"/>
      <c r="R95" s="41"/>
      <c r="S95" s="42"/>
      <c r="T95" s="5"/>
    </row>
    <row r="96" spans="1:19" ht="12.75">
      <c r="A96" s="199" t="s">
        <v>951</v>
      </c>
      <c r="I96" s="2">
        <f aca="true" t="shared" si="6" ref="I96:N96">SUM(I78:I95)</f>
        <v>57438</v>
      </c>
      <c r="J96" s="2">
        <f t="shared" si="6"/>
        <v>50753</v>
      </c>
      <c r="K96" s="2">
        <f t="shared" si="6"/>
        <v>56807</v>
      </c>
      <c r="L96" s="2">
        <f>SUM(L78:L95)</f>
        <v>52835</v>
      </c>
      <c r="M96" s="2">
        <f t="shared" si="6"/>
        <v>33256.5</v>
      </c>
      <c r="N96" s="2">
        <f t="shared" si="6"/>
        <v>32012</v>
      </c>
      <c r="O96" s="2">
        <f>SUM(O78:O95)</f>
        <v>26442</v>
      </c>
      <c r="P96" s="2">
        <f>SUM(P78:P95)</f>
        <v>34949.333333333336</v>
      </c>
      <c r="Q96" s="44"/>
      <c r="R96" s="41"/>
      <c r="S96" s="42"/>
    </row>
    <row r="97" spans="1:20" ht="12.75">
      <c r="A97" s="44" t="s">
        <v>30</v>
      </c>
      <c r="K97" s="75">
        <f aca="true" t="shared" si="7" ref="K97:P97">K96/K65</f>
        <v>0.2093387479547766</v>
      </c>
      <c r="L97" s="75">
        <f t="shared" si="7"/>
        <v>0.21240969522515388</v>
      </c>
      <c r="M97" s="75">
        <f t="shared" si="7"/>
        <v>0.13992132278694042</v>
      </c>
      <c r="N97" s="75">
        <f t="shared" si="7"/>
        <v>0.14554878603255433</v>
      </c>
      <c r="O97" s="75">
        <f t="shared" si="7"/>
        <v>0.15749222723861483</v>
      </c>
      <c r="P97" s="75">
        <f t="shared" si="7"/>
        <v>0.14258205594055637</v>
      </c>
      <c r="Q97" s="40"/>
      <c r="R97" s="41"/>
      <c r="T97" s="5"/>
    </row>
    <row r="98" spans="17:19" ht="12.75">
      <c r="Q98" s="40"/>
      <c r="R98" s="41"/>
      <c r="S98" s="42"/>
    </row>
    <row r="99" spans="17:18" ht="12.75">
      <c r="Q99" s="40"/>
      <c r="R99" s="41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W71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0.8515625" style="0" bestFit="1" customWidth="1"/>
    <col min="21" max="21" width="9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477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112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305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17100</v>
      </c>
      <c r="N7" s="2">
        <v>15000</v>
      </c>
      <c r="O7" s="2">
        <v>11250</v>
      </c>
      <c r="P7" s="2">
        <v>15000</v>
      </c>
      <c r="Q7" s="20">
        <v>15000</v>
      </c>
      <c r="R7" s="2">
        <v>15000</v>
      </c>
      <c r="S7" s="20">
        <v>15000</v>
      </c>
      <c r="T7" s="2"/>
      <c r="U7" s="89">
        <f>(T7-Q7)/Q7</f>
        <v>-1</v>
      </c>
    </row>
    <row r="8" spans="2:21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  <c r="Q8" s="5"/>
      <c r="R8" s="5"/>
      <c r="S8" s="2"/>
      <c r="T8" s="2"/>
      <c r="U8" s="51"/>
    </row>
    <row r="9" spans="2:21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1"/>
    </row>
    <row r="10" spans="1:21" ht="12.75">
      <c r="A10" s="6" t="s">
        <v>119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T10">SUM(K7:K9)</f>
        <v>17500</v>
      </c>
      <c r="L10" s="8">
        <v>15000</v>
      </c>
      <c r="M10" s="8">
        <v>17100</v>
      </c>
      <c r="N10" s="8">
        <v>15000</v>
      </c>
      <c r="O10" s="8">
        <f t="shared" si="1"/>
        <v>11250</v>
      </c>
      <c r="P10" s="8">
        <f t="shared" si="1"/>
        <v>15000</v>
      </c>
      <c r="Q10" s="8">
        <f t="shared" si="1"/>
        <v>15000</v>
      </c>
      <c r="R10" s="8">
        <f t="shared" si="1"/>
        <v>15000</v>
      </c>
      <c r="S10" s="8">
        <f t="shared" si="1"/>
        <v>15000</v>
      </c>
      <c r="T10" s="8">
        <f t="shared" si="1"/>
        <v>0</v>
      </c>
      <c r="U10" s="52">
        <f>(T10-Q10)/Q10</f>
        <v>-1</v>
      </c>
    </row>
    <row r="11" ht="12.75">
      <c r="U11" s="51"/>
    </row>
    <row r="12" spans="17:21" ht="12.75">
      <c r="Q12" s="22" t="s">
        <v>484</v>
      </c>
      <c r="R12" s="22"/>
      <c r="S12" s="55">
        <f>R10-S10</f>
        <v>0</v>
      </c>
      <c r="U12" s="51"/>
    </row>
    <row r="13" spans="17:21" ht="12.75">
      <c r="Q13" s="22" t="s">
        <v>725</v>
      </c>
      <c r="R13" s="22"/>
      <c r="S13" s="55">
        <f>Q10-S10</f>
        <v>0</v>
      </c>
      <c r="U13" s="51"/>
    </row>
    <row r="14" spans="17:21" ht="12.75">
      <c r="Q14" s="22" t="s">
        <v>432</v>
      </c>
      <c r="R14" s="22"/>
      <c r="S14" s="55">
        <f>S10-T10</f>
        <v>15000</v>
      </c>
      <c r="U14" s="51"/>
    </row>
    <row r="15" ht="12.75">
      <c r="U15" s="51"/>
    </row>
    <row r="16" spans="1:21" ht="12.75">
      <c r="A16" s="45"/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3" ht="12.75">
      <c r="U53" s="51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V65"/>
  <sheetViews>
    <sheetView zoomScale="75" zoomScaleNormal="75" workbookViewId="0" topLeftCell="A1">
      <selection activeCell="U21" sqref="U21"/>
    </sheetView>
  </sheetViews>
  <sheetFormatPr defaultColWidth="9.140625" defaultRowHeight="12.75"/>
  <cols>
    <col min="1" max="1" width="34.00390625" style="0" customWidth="1"/>
    <col min="2" max="2" width="8.5742187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11" width="11.7109375" style="0" hidden="1" customWidth="1"/>
    <col min="12" max="15" width="11.7109375" style="0" customWidth="1"/>
    <col min="16" max="16" width="10.00390625" style="0" customWidth="1"/>
    <col min="17" max="17" width="11.7109375" style="0" customWidth="1"/>
    <col min="19" max="19" width="10.7109375" style="0" bestFit="1" customWidth="1"/>
    <col min="20" max="20" width="10.8515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478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 t="s">
        <v>113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" customHeight="1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 hidden="1">
      <c r="A7" t="s">
        <v>677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1:21" ht="12.75" hidden="1">
      <c r="A8" t="s">
        <v>719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2"/>
      <c r="T8" s="2"/>
      <c r="U8" s="89"/>
    </row>
    <row r="9" spans="1:21" ht="12.75" hidden="1">
      <c r="A9" t="s">
        <v>720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2"/>
      <c r="T9" s="2"/>
      <c r="U9" s="89"/>
    </row>
    <row r="10" spans="1:21" ht="12.75" hidden="1">
      <c r="A10" t="s">
        <v>758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89"/>
    </row>
    <row r="11" spans="1:21" ht="12.75">
      <c r="A11" t="s">
        <v>258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/>
      <c r="O11" s="2">
        <v>300</v>
      </c>
      <c r="P11" s="2">
        <f>+O11/$O$3*12</f>
        <v>400</v>
      </c>
      <c r="Q11" s="2"/>
      <c r="R11" s="2"/>
      <c r="S11" s="2"/>
      <c r="T11" s="2"/>
      <c r="U11" s="89"/>
    </row>
    <row r="12" spans="1:21" ht="12.75" hidden="1">
      <c r="A12" t="s">
        <v>738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89"/>
    </row>
    <row r="13" spans="1:22" ht="12.75">
      <c r="A13" t="s">
        <v>307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81000</v>
      </c>
      <c r="O13" s="2">
        <v>77000</v>
      </c>
      <c r="P13" s="2">
        <v>77000</v>
      </c>
      <c r="Q13" s="2">
        <v>77000</v>
      </c>
      <c r="R13" s="2">
        <v>77000</v>
      </c>
      <c r="S13" s="2">
        <v>77000</v>
      </c>
      <c r="T13" s="2">
        <v>77000</v>
      </c>
      <c r="U13" s="89">
        <f>(T13-Q13)/Q13</f>
        <v>0</v>
      </c>
      <c r="V13" t="s">
        <v>367</v>
      </c>
    </row>
    <row r="14" spans="1:21" ht="12.75" hidden="1">
      <c r="A14" t="s">
        <v>655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1:22" ht="12.75" hidden="1">
      <c r="A15" t="s">
        <v>772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89"/>
      <c r="V15" s="33" t="s">
        <v>510</v>
      </c>
    </row>
    <row r="16" spans="1:22" ht="12.75" hidden="1">
      <c r="A16" t="s">
        <v>752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2"/>
      <c r="T16" s="2"/>
      <c r="U16" s="89"/>
      <c r="V16" s="33" t="s">
        <v>510</v>
      </c>
    </row>
    <row r="17" spans="1:22" ht="12.75" hidden="1">
      <c r="A17" t="s">
        <v>690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  <c r="V17" s="33" t="s">
        <v>510</v>
      </c>
    </row>
    <row r="18" spans="1:22" ht="12.75">
      <c r="A18" t="s">
        <v>905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2"/>
      <c r="T18" s="2"/>
      <c r="U18" s="89"/>
      <c r="V18" s="33" t="s">
        <v>510</v>
      </c>
    </row>
    <row r="19" spans="2:21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9"/>
    </row>
    <row r="20" spans="2:21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  <c r="Q20" s="5"/>
      <c r="R20" s="5"/>
      <c r="S20" s="5"/>
      <c r="T20" s="5"/>
      <c r="U20" s="51"/>
    </row>
    <row r="21" spans="1:21" ht="12.75">
      <c r="A21" s="6" t="s">
        <v>119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T21">SUM(K7:K20)</f>
        <v>633532</v>
      </c>
      <c r="L21" s="8">
        <v>101400</v>
      </c>
      <c r="M21" s="8">
        <v>81000</v>
      </c>
      <c r="N21" s="8">
        <v>81000</v>
      </c>
      <c r="O21" s="8">
        <f t="shared" si="1"/>
        <v>77300</v>
      </c>
      <c r="P21" s="8">
        <f t="shared" si="1"/>
        <v>77400</v>
      </c>
      <c r="Q21" s="8">
        <f t="shared" si="1"/>
        <v>77000</v>
      </c>
      <c r="R21" s="8">
        <f t="shared" si="1"/>
        <v>77000</v>
      </c>
      <c r="S21" s="8">
        <f t="shared" si="1"/>
        <v>77000</v>
      </c>
      <c r="T21" s="8">
        <f t="shared" si="1"/>
        <v>77000</v>
      </c>
      <c r="U21" s="52">
        <f>(T21-Q21)/Q21</f>
        <v>0</v>
      </c>
    </row>
    <row r="22" ht="12.75">
      <c r="U22" s="51"/>
    </row>
    <row r="23" spans="2:21" ht="12.75">
      <c r="B23" s="4"/>
      <c r="Q23" s="22" t="s">
        <v>484</v>
      </c>
      <c r="R23" s="22"/>
      <c r="S23" s="55">
        <f>R21-S21</f>
        <v>0</v>
      </c>
      <c r="U23" s="51"/>
    </row>
    <row r="24" spans="1:21" ht="12.75">
      <c r="A24" s="16"/>
      <c r="Q24" s="22" t="s">
        <v>725</v>
      </c>
      <c r="R24" s="22"/>
      <c r="S24" s="55">
        <f>Q21-S21</f>
        <v>0</v>
      </c>
      <c r="U24" s="51"/>
    </row>
    <row r="25" spans="1:21" ht="12.75">
      <c r="A25" s="16"/>
      <c r="Q25" s="22" t="s">
        <v>432</v>
      </c>
      <c r="R25" s="22"/>
      <c r="S25" s="55">
        <f>S21-T21</f>
        <v>0</v>
      </c>
      <c r="U25" s="51"/>
    </row>
    <row r="26" spans="1:21" ht="12.75">
      <c r="A26" s="14" t="s">
        <v>513</v>
      </c>
      <c r="B26" t="s">
        <v>537</v>
      </c>
      <c r="U26" s="51"/>
    </row>
    <row r="27" spans="1:21" ht="12.75">
      <c r="A27" s="14" t="s">
        <v>626</v>
      </c>
      <c r="B27" t="s">
        <v>899</v>
      </c>
      <c r="U27" s="51"/>
    </row>
    <row r="28" ht="12.75">
      <c r="U28" s="51"/>
    </row>
    <row r="29" spans="1:21" ht="12.75">
      <c r="A29" s="6"/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53" spans="3:2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</sheetData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08"/>
  <sheetViews>
    <sheetView zoomScale="75" zoomScaleNormal="75" workbookViewId="0" topLeftCell="A3">
      <pane ySplit="960" topLeftCell="BM1" activePane="bottomLeft" state="split"/>
      <selection pane="topLeft" activeCell="O3" sqref="O3"/>
      <selection pane="bottomLeft" activeCell="T12" sqref="T12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8.57421875" style="22" hidden="1" customWidth="1"/>
    <col min="4" max="4" width="7.57421875" style="22" hidden="1" customWidth="1"/>
    <col min="5" max="5" width="8.00390625" style="22" hidden="1" customWidth="1"/>
    <col min="6" max="11" width="9.140625" style="22" hidden="1" customWidth="1"/>
    <col min="12" max="14" width="9.140625" style="22" customWidth="1"/>
    <col min="15" max="15" width="8.28125" style="22" customWidth="1"/>
    <col min="16" max="16" width="9.140625" style="22" bestFit="1" customWidth="1"/>
    <col min="17" max="17" width="10.8515625" style="22" customWidth="1"/>
    <col min="18" max="18" width="8.7109375" style="22" bestFit="1" customWidth="1"/>
    <col min="19" max="19" width="10.28125" style="22" bestFit="1" customWidth="1"/>
    <col min="20" max="20" width="9.140625" style="22" bestFit="1" customWidth="1"/>
    <col min="21" max="21" width="10.140625" style="22" bestFit="1" customWidth="1"/>
    <col min="22" max="22" width="11.7109375" style="22" customWidth="1"/>
    <col min="23" max="16384" width="9.140625" style="22" customWidth="1"/>
  </cols>
  <sheetData>
    <row r="1" spans="1:2" ht="12.75">
      <c r="A1" s="22" t="s">
        <v>109</v>
      </c>
      <c r="B1"/>
    </row>
    <row r="2" ht="12.75">
      <c r="A2" s="22" t="s">
        <v>110</v>
      </c>
    </row>
    <row r="3" spans="1:21" ht="12.75">
      <c r="A3" s="45" t="s">
        <v>424</v>
      </c>
      <c r="F3" s="26"/>
      <c r="G3" s="26"/>
      <c r="H3" s="26"/>
      <c r="I3" s="26"/>
      <c r="J3" s="26"/>
      <c r="K3" s="26"/>
      <c r="L3" s="26"/>
      <c r="M3" s="26"/>
      <c r="N3" s="26"/>
      <c r="O3" s="50">
        <v>9</v>
      </c>
      <c r="U3" s="26" t="s">
        <v>350</v>
      </c>
    </row>
    <row r="4" spans="3:2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ht="12.75">
      <c r="C5" s="26" t="s">
        <v>421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3" t="s">
        <v>118</v>
      </c>
    </row>
    <row r="7" spans="1:23" ht="12.75">
      <c r="A7" s="22" t="s">
        <v>652</v>
      </c>
      <c r="B7" s="48">
        <v>51.11</v>
      </c>
      <c r="C7" s="31">
        <v>13754</v>
      </c>
      <c r="D7" s="31">
        <v>16623</v>
      </c>
      <c r="E7" s="31">
        <v>14704</v>
      </c>
      <c r="F7" s="31">
        <v>17261</v>
      </c>
      <c r="G7" s="31">
        <v>15722</v>
      </c>
      <c r="H7" s="31">
        <v>17906</v>
      </c>
      <c r="I7" s="31">
        <v>16941</v>
      </c>
      <c r="J7" s="31">
        <v>17243</v>
      </c>
      <c r="K7" s="31">
        <v>12729.96</v>
      </c>
      <c r="L7" s="31">
        <v>10399.17</v>
      </c>
      <c r="M7" s="31">
        <v>7428</v>
      </c>
      <c r="N7" s="31">
        <v>7660</v>
      </c>
      <c r="O7" s="2">
        <v>6234</v>
      </c>
      <c r="P7" s="31">
        <f aca="true" t="shared" si="0" ref="P7:P12">(12/$O$3)*O7</f>
        <v>8312</v>
      </c>
      <c r="Q7" s="31">
        <v>8977</v>
      </c>
      <c r="R7" s="31">
        <v>8622</v>
      </c>
      <c r="S7" s="31">
        <v>8622</v>
      </c>
      <c r="T7" s="31">
        <v>8622</v>
      </c>
      <c r="U7" s="51">
        <f>(T7-Q7)/Q7</f>
        <v>-0.0395455051799042</v>
      </c>
      <c r="W7" s="45"/>
    </row>
    <row r="8" spans="1:21" ht="12.75" hidden="1">
      <c r="A8" s="22" t="s">
        <v>692</v>
      </c>
      <c r="B8" s="48"/>
      <c r="C8" s="31"/>
      <c r="D8" s="31"/>
      <c r="E8" s="31"/>
      <c r="F8" s="31"/>
      <c r="G8" s="31"/>
      <c r="H8" s="31"/>
      <c r="I8" s="31">
        <v>114672</v>
      </c>
      <c r="J8" s="31"/>
      <c r="K8" s="31"/>
      <c r="L8" s="31"/>
      <c r="M8" s="31"/>
      <c r="N8" s="31"/>
      <c r="O8" s="31"/>
      <c r="P8" s="31">
        <f t="shared" si="0"/>
        <v>0</v>
      </c>
      <c r="Q8" s="31"/>
      <c r="R8" s="31"/>
      <c r="S8" s="31"/>
      <c r="T8" s="31"/>
      <c r="U8" s="51"/>
    </row>
    <row r="9" spans="1:21" ht="12.75" hidden="1">
      <c r="A9" s="22" t="s">
        <v>393</v>
      </c>
      <c r="B9" s="48">
        <v>51.113</v>
      </c>
      <c r="C9" s="31"/>
      <c r="D9" s="31"/>
      <c r="E9" s="31"/>
      <c r="F9" s="31">
        <v>7219</v>
      </c>
      <c r="G9" s="31"/>
      <c r="H9" s="31"/>
      <c r="I9" s="31"/>
      <c r="J9" s="31"/>
      <c r="K9" s="31"/>
      <c r="L9" s="31"/>
      <c r="M9" s="31"/>
      <c r="N9" s="31"/>
      <c r="O9" s="31"/>
      <c r="P9" s="31">
        <f t="shared" si="0"/>
        <v>0</v>
      </c>
      <c r="Q9" s="31"/>
      <c r="R9" s="31"/>
      <c r="S9" s="31"/>
      <c r="T9" s="31"/>
      <c r="U9" s="51"/>
    </row>
    <row r="10" spans="1:21" ht="12.75" hidden="1">
      <c r="A10" s="22" t="s">
        <v>395</v>
      </c>
      <c r="B10" s="48">
        <v>51.12</v>
      </c>
      <c r="C10" s="31"/>
      <c r="D10" s="31">
        <v>749</v>
      </c>
      <c r="E10" s="31"/>
      <c r="F10" s="31">
        <v>4490</v>
      </c>
      <c r="G10" s="31">
        <v>4235</v>
      </c>
      <c r="H10" s="31">
        <v>3692</v>
      </c>
      <c r="I10" s="31">
        <v>11</v>
      </c>
      <c r="J10" s="31"/>
      <c r="K10" s="31"/>
      <c r="L10" s="31">
        <v>0</v>
      </c>
      <c r="M10" s="31"/>
      <c r="N10" s="31"/>
      <c r="O10" s="31"/>
      <c r="P10" s="31">
        <f t="shared" si="0"/>
        <v>0</v>
      </c>
      <c r="Q10" s="31"/>
      <c r="R10" s="31"/>
      <c r="S10" s="31"/>
      <c r="T10" s="31"/>
      <c r="U10" s="51"/>
    </row>
    <row r="11" spans="1:22" ht="12.75">
      <c r="A11" s="22" t="s">
        <v>161</v>
      </c>
      <c r="B11" s="48">
        <v>51.21</v>
      </c>
      <c r="C11" s="31">
        <v>1879</v>
      </c>
      <c r="D11" s="31">
        <v>2500</v>
      </c>
      <c r="E11" s="31">
        <v>3160</v>
      </c>
      <c r="F11" s="31">
        <v>5106</v>
      </c>
      <c r="G11" s="31">
        <v>3301</v>
      </c>
      <c r="H11" s="31">
        <v>3163</v>
      </c>
      <c r="I11" s="31">
        <v>7492</v>
      </c>
      <c r="J11" s="31">
        <v>3454</v>
      </c>
      <c r="K11" s="31">
        <v>2710</v>
      </c>
      <c r="L11" s="31">
        <f>2400+100</f>
        <v>2500</v>
      </c>
      <c r="M11" s="31"/>
      <c r="N11" s="31">
        <v>104</v>
      </c>
      <c r="O11" s="31">
        <v>151</v>
      </c>
      <c r="P11" s="31">
        <f t="shared" si="0"/>
        <v>201.33333333333331</v>
      </c>
      <c r="Q11" s="31"/>
      <c r="R11" s="31"/>
      <c r="S11" s="31"/>
      <c r="T11" s="31"/>
      <c r="U11" s="51"/>
      <c r="V11" s="2"/>
    </row>
    <row r="12" spans="1:22" ht="12.75">
      <c r="A12" s="22" t="s">
        <v>351</v>
      </c>
      <c r="B12" s="48">
        <v>51.211</v>
      </c>
      <c r="C12" s="31"/>
      <c r="D12" s="31"/>
      <c r="E12" s="31"/>
      <c r="F12" s="31">
        <v>26200</v>
      </c>
      <c r="G12" s="31">
        <v>30200</v>
      </c>
      <c r="H12" s="31">
        <v>36350</v>
      </c>
      <c r="I12" s="31">
        <v>32600</v>
      </c>
      <c r="J12" s="31">
        <v>36500</v>
      </c>
      <c r="K12" s="31">
        <v>31700</v>
      </c>
      <c r="L12" s="31">
        <v>27400</v>
      </c>
      <c r="M12" s="31">
        <v>30800</v>
      </c>
      <c r="N12" s="31">
        <v>28970</v>
      </c>
      <c r="O12" s="2">
        <v>19500</v>
      </c>
      <c r="P12" s="31">
        <f t="shared" si="0"/>
        <v>26000</v>
      </c>
      <c r="Q12" s="31">
        <v>29000</v>
      </c>
      <c r="R12" s="31">
        <v>5000</v>
      </c>
      <c r="S12" s="31">
        <v>5000</v>
      </c>
      <c r="T12" s="31">
        <v>5000</v>
      </c>
      <c r="U12" s="51">
        <f>(T12-Q12)/Q12</f>
        <v>-0.8275862068965517</v>
      </c>
      <c r="V12" t="s">
        <v>14</v>
      </c>
    </row>
    <row r="13" spans="1:22" ht="12.75">
      <c r="A13" s="22" t="s">
        <v>141</v>
      </c>
      <c r="B13" s="48">
        <v>51.22</v>
      </c>
      <c r="C13" s="31">
        <v>1052</v>
      </c>
      <c r="D13" s="31">
        <v>1329</v>
      </c>
      <c r="E13" s="31">
        <v>1124</v>
      </c>
      <c r="F13" s="31">
        <v>1677</v>
      </c>
      <c r="G13" s="31">
        <v>3775</v>
      </c>
      <c r="H13" s="31">
        <v>1652</v>
      </c>
      <c r="I13" s="31">
        <v>10064</v>
      </c>
      <c r="J13" s="31">
        <v>1319</v>
      </c>
      <c r="K13" s="31">
        <v>974</v>
      </c>
      <c r="L13" s="31">
        <v>795.35</v>
      </c>
      <c r="M13" s="31">
        <v>568</v>
      </c>
      <c r="N13" s="31">
        <v>586</v>
      </c>
      <c r="O13" s="31">
        <v>477</v>
      </c>
      <c r="P13" s="31">
        <f>0.0765*P7</f>
        <v>635.8679999999999</v>
      </c>
      <c r="Q13" s="31">
        <f>0.0765*Q7</f>
        <v>686.7405</v>
      </c>
      <c r="R13" s="31">
        <f>R7*0.0765</f>
        <v>659.583</v>
      </c>
      <c r="S13" s="31">
        <f>S7*0.0765</f>
        <v>659.583</v>
      </c>
      <c r="T13" s="31">
        <f>T7*0.0765</f>
        <v>659.583</v>
      </c>
      <c r="U13" s="51">
        <f>(T13-Q13)/Q13</f>
        <v>-0.03954550517990424</v>
      </c>
      <c r="V13" s="45"/>
    </row>
    <row r="14" spans="1:21" ht="12.75">
      <c r="A14" t="s">
        <v>1018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100</v>
      </c>
      <c r="P14" s="2">
        <v>100</v>
      </c>
      <c r="Q14" s="2">
        <v>100</v>
      </c>
      <c r="R14" s="2">
        <v>100</v>
      </c>
      <c r="S14" s="2">
        <v>100</v>
      </c>
      <c r="T14" s="2">
        <v>100</v>
      </c>
      <c r="U14" s="89"/>
    </row>
    <row r="15" spans="1:22" ht="12.75">
      <c r="A15" s="22" t="s">
        <v>168</v>
      </c>
      <c r="B15" s="48">
        <v>51.26</v>
      </c>
      <c r="C15" s="31">
        <v>7518</v>
      </c>
      <c r="D15" s="31">
        <v>4761</v>
      </c>
      <c r="E15" s="31">
        <v>16816</v>
      </c>
      <c r="F15" s="31">
        <v>4860</v>
      </c>
      <c r="G15" s="31">
        <v>6769</v>
      </c>
      <c r="H15" s="31">
        <v>4233</v>
      </c>
      <c r="I15" s="31">
        <v>1631</v>
      </c>
      <c r="J15" s="31">
        <v>6842</v>
      </c>
      <c r="K15" s="31">
        <f>10393+4480</f>
        <v>14873</v>
      </c>
      <c r="L15" s="31">
        <v>0</v>
      </c>
      <c r="M15" s="31">
        <v>-1094</v>
      </c>
      <c r="N15" s="31">
        <v>598</v>
      </c>
      <c r="O15" s="2"/>
      <c r="P15" s="31"/>
      <c r="Q15" s="31"/>
      <c r="R15" s="31"/>
      <c r="S15" s="31"/>
      <c r="T15" s="31"/>
      <c r="U15" s="51" t="e">
        <f>(T15-Q15)/Q15</f>
        <v>#DIV/0!</v>
      </c>
      <c r="V15" s="31"/>
    </row>
    <row r="16" spans="1:21" ht="12.75" hidden="1">
      <c r="A16" s="22" t="s">
        <v>169</v>
      </c>
      <c r="B16" s="48">
        <v>51.291</v>
      </c>
      <c r="C16" s="31"/>
      <c r="D16" s="31"/>
      <c r="E16" s="31"/>
      <c r="F16" s="31">
        <v>24911</v>
      </c>
      <c r="G16" s="31">
        <v>29391</v>
      </c>
      <c r="H16" s="31"/>
      <c r="I16" s="31"/>
      <c r="J16" s="31"/>
      <c r="K16" s="31"/>
      <c r="L16" s="31">
        <v>0</v>
      </c>
      <c r="M16" s="31"/>
      <c r="N16" s="31"/>
      <c r="O16" s="31"/>
      <c r="P16" s="31"/>
      <c r="Q16" s="31"/>
      <c r="R16" s="31"/>
      <c r="S16" s="31"/>
      <c r="T16" s="31"/>
      <c r="U16" s="51"/>
    </row>
    <row r="17" spans="2:21" ht="12.75">
      <c r="B17" s="4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3" ht="12.75">
      <c r="A18" s="22" t="s">
        <v>704</v>
      </c>
      <c r="B18" s="48">
        <v>52.1205</v>
      </c>
      <c r="C18" s="31"/>
      <c r="D18" s="31"/>
      <c r="E18" s="31"/>
      <c r="F18" s="31"/>
      <c r="G18" s="31"/>
      <c r="H18" s="31"/>
      <c r="I18" s="31"/>
      <c r="J18" s="31">
        <v>750</v>
      </c>
      <c r="K18" s="31">
        <v>750</v>
      </c>
      <c r="L18" s="31">
        <v>750</v>
      </c>
      <c r="M18" s="31">
        <v>750</v>
      </c>
      <c r="N18" s="31">
        <v>750</v>
      </c>
      <c r="O18" s="31"/>
      <c r="P18" s="31">
        <v>750</v>
      </c>
      <c r="Q18" s="31">
        <v>750</v>
      </c>
      <c r="R18" s="31">
        <v>750</v>
      </c>
      <c r="S18" s="31">
        <v>750</v>
      </c>
      <c r="T18" s="31">
        <v>750</v>
      </c>
      <c r="U18" s="51"/>
      <c r="W18" s="31"/>
    </row>
    <row r="19" spans="1:21" ht="12.75" hidden="1">
      <c r="A19" s="22" t="s">
        <v>207</v>
      </c>
      <c r="B19" s="48">
        <v>52.121</v>
      </c>
      <c r="C19" s="31"/>
      <c r="D19" s="31"/>
      <c r="E19" s="31"/>
      <c r="F19" s="31">
        <v>219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51"/>
    </row>
    <row r="20" spans="1:21" ht="12.75">
      <c r="A20" s="22" t="s">
        <v>170</v>
      </c>
      <c r="B20" s="48">
        <v>52.126</v>
      </c>
      <c r="C20" s="31">
        <v>5623</v>
      </c>
      <c r="D20" s="31">
        <v>2904</v>
      </c>
      <c r="E20" s="31">
        <v>734</v>
      </c>
      <c r="F20" s="31">
        <v>7591</v>
      </c>
      <c r="G20" s="31">
        <v>5906</v>
      </c>
      <c r="H20" s="31">
        <v>3902</v>
      </c>
      <c r="I20" s="31">
        <v>5518</v>
      </c>
      <c r="J20" s="31">
        <v>5296</v>
      </c>
      <c r="K20" s="31">
        <v>4554</v>
      </c>
      <c r="L20" s="31">
        <f>5740+295</f>
        <v>6035</v>
      </c>
      <c r="M20" s="31">
        <v>4043</v>
      </c>
      <c r="N20" s="31">
        <v>5479</v>
      </c>
      <c r="O20" s="31">
        <v>1722</v>
      </c>
      <c r="P20" s="31">
        <f>(12/$O$3)*O20</f>
        <v>2296</v>
      </c>
      <c r="Q20" s="31">
        <v>4500</v>
      </c>
      <c r="R20" s="31">
        <v>4500</v>
      </c>
      <c r="S20" s="31">
        <v>4500</v>
      </c>
      <c r="T20" s="31">
        <v>4500</v>
      </c>
      <c r="U20" s="51">
        <f>(T20-Q20)/Q20</f>
        <v>0</v>
      </c>
    </row>
    <row r="21" spans="1:21" ht="12.75">
      <c r="A21" s="22" t="s">
        <v>394</v>
      </c>
      <c r="B21" s="48">
        <v>52.1302</v>
      </c>
      <c r="C21" s="31"/>
      <c r="D21" s="31"/>
      <c r="E21" s="31"/>
      <c r="F21" s="31">
        <v>1494</v>
      </c>
      <c r="G21" s="31">
        <v>1494</v>
      </c>
      <c r="H21" s="31">
        <v>389</v>
      </c>
      <c r="I21" s="31"/>
      <c r="J21" s="31"/>
      <c r="K21" s="31">
        <v>3113</v>
      </c>
      <c r="L21" s="31">
        <v>1829</v>
      </c>
      <c r="M21" s="31">
        <v>1200</v>
      </c>
      <c r="N21" s="31"/>
      <c r="O21" s="31">
        <v>2051</v>
      </c>
      <c r="P21" s="31">
        <v>2051</v>
      </c>
      <c r="Q21" s="31">
        <v>1200</v>
      </c>
      <c r="R21" s="31">
        <v>1200</v>
      </c>
      <c r="S21" s="31">
        <v>1200</v>
      </c>
      <c r="T21" s="31">
        <v>1200</v>
      </c>
      <c r="U21" s="51">
        <f>(T21-Q21)/Q21</f>
        <v>0</v>
      </c>
    </row>
    <row r="22" spans="1:21" ht="12.75" hidden="1">
      <c r="A22" s="22" t="s">
        <v>363</v>
      </c>
      <c r="B22" s="48">
        <v>52.1305</v>
      </c>
      <c r="C22" s="31"/>
      <c r="D22" s="31"/>
      <c r="E22" s="31">
        <v>90</v>
      </c>
      <c r="F22" s="31">
        <v>300</v>
      </c>
      <c r="G22" s="31"/>
      <c r="H22" s="31"/>
      <c r="I22" s="31"/>
      <c r="J22" s="31"/>
      <c r="K22" s="31"/>
      <c r="L22" s="31"/>
      <c r="M22" s="31"/>
      <c r="N22" s="31"/>
      <c r="O22" s="31"/>
      <c r="P22" s="31">
        <v>0</v>
      </c>
      <c r="Q22" s="31"/>
      <c r="R22" s="31"/>
      <c r="S22" s="31"/>
      <c r="T22" s="31"/>
      <c r="U22" s="51"/>
    </row>
    <row r="23" spans="1:21" ht="12.75">
      <c r="A23" s="22" t="s">
        <v>612</v>
      </c>
      <c r="B23" s="48">
        <v>52.1309</v>
      </c>
      <c r="C23" s="31"/>
      <c r="D23" s="31"/>
      <c r="E23" s="31"/>
      <c r="F23" s="31"/>
      <c r="G23" s="31"/>
      <c r="H23" s="31"/>
      <c r="I23" s="31">
        <v>350</v>
      </c>
      <c r="J23" s="31">
        <v>350</v>
      </c>
      <c r="K23" s="31">
        <v>400</v>
      </c>
      <c r="L23" s="31">
        <v>400</v>
      </c>
      <c r="M23" s="31"/>
      <c r="N23" s="31"/>
      <c r="O23" s="31"/>
      <c r="P23" s="31"/>
      <c r="Q23" s="31"/>
      <c r="R23" s="31"/>
      <c r="S23" s="31"/>
      <c r="T23" s="31"/>
      <c r="U23" s="51"/>
    </row>
    <row r="24" spans="1:21" ht="12.75">
      <c r="A24" s="22" t="s">
        <v>171</v>
      </c>
      <c r="B24" s="48">
        <v>52.131</v>
      </c>
      <c r="C24" s="31">
        <v>1625</v>
      </c>
      <c r="D24" s="31">
        <v>900</v>
      </c>
      <c r="E24" s="31">
        <v>1062</v>
      </c>
      <c r="F24" s="31">
        <v>1835</v>
      </c>
      <c r="G24" s="31">
        <v>1637</v>
      </c>
      <c r="H24" s="31">
        <v>300</v>
      </c>
      <c r="I24" s="31">
        <v>977</v>
      </c>
      <c r="J24" s="31">
        <v>2475</v>
      </c>
      <c r="K24" s="31">
        <v>2835</v>
      </c>
      <c r="L24" s="31">
        <v>2820</v>
      </c>
      <c r="M24" s="31">
        <v>2940</v>
      </c>
      <c r="N24" s="31">
        <v>3192</v>
      </c>
      <c r="O24" s="2">
        <v>3495</v>
      </c>
      <c r="P24" s="31">
        <v>3500</v>
      </c>
      <c r="Q24" s="31">
        <v>3200</v>
      </c>
      <c r="R24" s="31">
        <v>3500</v>
      </c>
      <c r="S24" s="31">
        <v>3500</v>
      </c>
      <c r="T24" s="31">
        <v>3500</v>
      </c>
      <c r="U24" s="51">
        <f>(T24-Q24)/Q24</f>
        <v>0.09375</v>
      </c>
    </row>
    <row r="25" spans="1:21" ht="12.75">
      <c r="A25" s="22" t="s">
        <v>172</v>
      </c>
      <c r="B25" s="48">
        <v>52.1312</v>
      </c>
      <c r="C25" s="31"/>
      <c r="D25" s="31"/>
      <c r="E25" s="31">
        <v>558</v>
      </c>
      <c r="F25" s="31">
        <v>745</v>
      </c>
      <c r="G25" s="31">
        <v>685</v>
      </c>
      <c r="H25" s="31">
        <v>1368</v>
      </c>
      <c r="I25" s="31">
        <v>1618</v>
      </c>
      <c r="J25" s="31">
        <v>1483</v>
      </c>
      <c r="K25" s="31">
        <v>2780</v>
      </c>
      <c r="L25" s="31">
        <v>3100</v>
      </c>
      <c r="M25" s="31">
        <v>2544</v>
      </c>
      <c r="N25" s="31">
        <v>2272</v>
      </c>
      <c r="O25" s="11">
        <v>1748</v>
      </c>
      <c r="P25" s="31">
        <f>(12/$O$3)*O25</f>
        <v>2330.6666666666665</v>
      </c>
      <c r="Q25" s="31">
        <v>3000</v>
      </c>
      <c r="R25" s="31">
        <v>3000</v>
      </c>
      <c r="S25" s="31">
        <v>3000</v>
      </c>
      <c r="T25" s="31">
        <v>3000</v>
      </c>
      <c r="U25" s="51">
        <f>(T25-Q25)/Q25</f>
        <v>0</v>
      </c>
    </row>
    <row r="26" spans="1:21" ht="12.75">
      <c r="A26" s="22" t="s">
        <v>75</v>
      </c>
      <c r="B26" s="48">
        <v>52.1316</v>
      </c>
      <c r="C26" s="31">
        <v>3015</v>
      </c>
      <c r="D26" s="31">
        <v>4244</v>
      </c>
      <c r="E26" s="31">
        <v>1865</v>
      </c>
      <c r="F26" s="31">
        <v>105</v>
      </c>
      <c r="G26" s="31">
        <v>1531</v>
      </c>
      <c r="H26" s="31">
        <v>1684</v>
      </c>
      <c r="I26" s="31">
        <v>1853</v>
      </c>
      <c r="J26" s="31">
        <v>2038</v>
      </c>
      <c r="K26" s="31">
        <v>2242</v>
      </c>
      <c r="L26" s="31">
        <v>0</v>
      </c>
      <c r="M26" s="31">
        <v>1285</v>
      </c>
      <c r="N26" s="31">
        <v>1359</v>
      </c>
      <c r="O26" s="11">
        <v>1232</v>
      </c>
      <c r="P26" s="31">
        <f>(12/$O$3)*O26</f>
        <v>1642.6666666666665</v>
      </c>
      <c r="Q26" s="31">
        <v>1900</v>
      </c>
      <c r="R26" s="31">
        <v>1800</v>
      </c>
      <c r="S26" s="31">
        <v>1800</v>
      </c>
      <c r="T26" s="31">
        <v>1800</v>
      </c>
      <c r="U26" s="51">
        <f>(T26-Q26)/Q26</f>
        <v>-0.05263157894736842</v>
      </c>
    </row>
    <row r="27" spans="1:21" ht="12.75">
      <c r="A27" s="22" t="s">
        <v>429</v>
      </c>
      <c r="B27" s="48">
        <v>52.1319</v>
      </c>
      <c r="C27" s="31"/>
      <c r="D27" s="31"/>
      <c r="E27" s="31">
        <v>376</v>
      </c>
      <c r="F27" s="31"/>
      <c r="G27" s="31">
        <v>2660</v>
      </c>
      <c r="H27" s="31">
        <v>1239</v>
      </c>
      <c r="I27" s="31">
        <v>1318</v>
      </c>
      <c r="J27" s="31">
        <v>1449</v>
      </c>
      <c r="K27" s="31">
        <v>1823</v>
      </c>
      <c r="L27" s="31">
        <v>1449</v>
      </c>
      <c r="M27" s="31">
        <v>1344</v>
      </c>
      <c r="N27" s="31">
        <v>1364</v>
      </c>
      <c r="O27" s="11">
        <v>909</v>
      </c>
      <c r="P27" s="31">
        <f>(12/$O$3)*O27</f>
        <v>1212</v>
      </c>
      <c r="Q27" s="31">
        <v>1400</v>
      </c>
      <c r="R27" s="31">
        <v>1400</v>
      </c>
      <c r="S27" s="31">
        <v>1400</v>
      </c>
      <c r="T27" s="31">
        <v>1400</v>
      </c>
      <c r="U27" s="51">
        <f>(T27-Q27)/Q27</f>
        <v>0</v>
      </c>
    </row>
    <row r="28" spans="1:21" ht="12.75">
      <c r="A28" s="22" t="s">
        <v>572</v>
      </c>
      <c r="B28" s="48">
        <v>52.2206</v>
      </c>
      <c r="C28" s="31"/>
      <c r="D28" s="31"/>
      <c r="E28" s="31"/>
      <c r="F28" s="31"/>
      <c r="G28" s="31"/>
      <c r="H28" s="31"/>
      <c r="I28" s="31"/>
      <c r="J28" s="31"/>
      <c r="K28" s="31">
        <v>561</v>
      </c>
      <c r="L28" s="31">
        <v>365</v>
      </c>
      <c r="M28" s="31">
        <v>150</v>
      </c>
      <c r="N28" s="31">
        <v>550</v>
      </c>
      <c r="O28" s="11"/>
      <c r="P28" s="31"/>
      <c r="Q28" s="31"/>
      <c r="R28" s="31"/>
      <c r="S28" s="31"/>
      <c r="T28" s="31"/>
      <c r="U28" s="51"/>
    </row>
    <row r="29" spans="1:21" ht="12.75">
      <c r="A29" s="22" t="s">
        <v>144</v>
      </c>
      <c r="B29" s="48">
        <v>52.321</v>
      </c>
      <c r="C29" s="22">
        <v>376</v>
      </c>
      <c r="D29" s="22">
        <v>-38</v>
      </c>
      <c r="E29" s="31"/>
      <c r="F29" s="31">
        <v>5</v>
      </c>
      <c r="G29" s="31">
        <v>150</v>
      </c>
      <c r="H29" s="31">
        <v>1520</v>
      </c>
      <c r="I29" s="31">
        <v>1275</v>
      </c>
      <c r="J29" s="31">
        <v>2296</v>
      </c>
      <c r="K29" s="31">
        <v>1158</v>
      </c>
      <c r="L29" s="31">
        <f>1581+5</f>
        <v>1586</v>
      </c>
      <c r="M29" s="31">
        <v>1183</v>
      </c>
      <c r="N29" s="31">
        <v>1467</v>
      </c>
      <c r="O29" s="11">
        <v>1122</v>
      </c>
      <c r="P29" s="31">
        <f>(12/$O$3)*O29</f>
        <v>1496</v>
      </c>
      <c r="Q29" s="31">
        <v>1500</v>
      </c>
      <c r="R29" s="31">
        <v>1500</v>
      </c>
      <c r="S29" s="31">
        <v>1500</v>
      </c>
      <c r="T29" s="31">
        <v>1500</v>
      </c>
      <c r="U29" s="51">
        <f>(T29-Q29)/Q29</f>
        <v>0</v>
      </c>
    </row>
    <row r="30" spans="1:22" ht="12.75">
      <c r="A30" s="22" t="s">
        <v>143</v>
      </c>
      <c r="B30" s="48">
        <v>52.32</v>
      </c>
      <c r="C30" s="31">
        <v>15200</v>
      </c>
      <c r="D30" s="31">
        <v>17341</v>
      </c>
      <c r="E30" s="31">
        <v>15986</v>
      </c>
      <c r="F30" s="31">
        <v>16288</v>
      </c>
      <c r="G30" s="31">
        <v>13454</v>
      </c>
      <c r="H30" s="31">
        <v>8232</v>
      </c>
      <c r="I30" s="31">
        <v>8100</v>
      </c>
      <c r="J30" s="31">
        <v>8600</v>
      </c>
      <c r="K30" s="31">
        <v>9131</v>
      </c>
      <c r="L30" s="31">
        <v>9064</v>
      </c>
      <c r="M30" s="31">
        <v>8815</v>
      </c>
      <c r="N30" s="31"/>
      <c r="O30" s="2">
        <v>4566</v>
      </c>
      <c r="P30" s="31">
        <f>(12/$O$3)*O30</f>
        <v>6088</v>
      </c>
      <c r="Q30" s="31">
        <v>4400</v>
      </c>
      <c r="R30" s="31">
        <v>6000</v>
      </c>
      <c r="S30" s="31">
        <v>6000</v>
      </c>
      <c r="T30" s="31">
        <v>6000</v>
      </c>
      <c r="U30" s="51">
        <f>(T30-Q30)/Q30</f>
        <v>0.36363636363636365</v>
      </c>
      <c r="V30" s="22" t="s">
        <v>510</v>
      </c>
    </row>
    <row r="31" spans="1:21" ht="12.75">
      <c r="A31" s="22" t="s">
        <v>165</v>
      </c>
      <c r="B31" s="48">
        <v>52.33</v>
      </c>
      <c r="C31" s="31"/>
      <c r="D31" s="31">
        <v>12977</v>
      </c>
      <c r="E31" s="31">
        <v>13697</v>
      </c>
      <c r="F31" s="31">
        <v>8658</v>
      </c>
      <c r="G31" s="31">
        <v>8792</v>
      </c>
      <c r="H31" s="31">
        <v>8050</v>
      </c>
      <c r="I31" s="31">
        <v>6340</v>
      </c>
      <c r="J31" s="31">
        <v>7937</v>
      </c>
      <c r="K31" s="31">
        <f>3836+2230</f>
        <v>6066</v>
      </c>
      <c r="L31" s="31">
        <f>3810+1909</f>
        <v>5719</v>
      </c>
      <c r="M31" s="31">
        <v>4252</v>
      </c>
      <c r="N31" s="31">
        <v>4902</v>
      </c>
      <c r="O31" s="11">
        <v>1890</v>
      </c>
      <c r="P31" s="31">
        <f>(12/$O$3)*O31</f>
        <v>2520</v>
      </c>
      <c r="Q31" s="31">
        <v>5300</v>
      </c>
      <c r="R31" s="31">
        <v>5000</v>
      </c>
      <c r="S31" s="31">
        <v>5000</v>
      </c>
      <c r="T31" s="31">
        <v>5000</v>
      </c>
      <c r="U31" s="51">
        <f>(T31-Q31)/Q31</f>
        <v>-0.05660377358490566</v>
      </c>
    </row>
    <row r="32" spans="1:21" ht="12.75" hidden="1">
      <c r="A32" s="22" t="s">
        <v>693</v>
      </c>
      <c r="B32" s="48">
        <v>52.34</v>
      </c>
      <c r="C32" s="31"/>
      <c r="D32" s="31"/>
      <c r="E32" s="31"/>
      <c r="F32" s="31"/>
      <c r="G32" s="31"/>
      <c r="H32" s="31"/>
      <c r="I32" s="31">
        <v>4867</v>
      </c>
      <c r="J32" s="31"/>
      <c r="K32" s="31"/>
      <c r="L32" s="31">
        <v>0</v>
      </c>
      <c r="M32" s="31"/>
      <c r="N32" s="31"/>
      <c r="O32" s="31"/>
      <c r="P32" s="31">
        <f>(12/$O$3)*O32</f>
        <v>0</v>
      </c>
      <c r="Q32" s="31"/>
      <c r="R32" s="31"/>
      <c r="S32" s="31"/>
      <c r="T32" s="31"/>
      <c r="U32" s="51"/>
    </row>
    <row r="33" spans="1:21" ht="12.75" hidden="1">
      <c r="A33" s="22" t="s">
        <v>390</v>
      </c>
      <c r="B33" s="48">
        <v>52.361</v>
      </c>
      <c r="C33" s="31"/>
      <c r="D33" s="31"/>
      <c r="E33" s="31">
        <v>5701</v>
      </c>
      <c r="F33" s="31">
        <v>45</v>
      </c>
      <c r="G33" s="31">
        <v>60</v>
      </c>
      <c r="H33" s="31"/>
      <c r="I33" s="31"/>
      <c r="J33" s="31"/>
      <c r="K33" s="31"/>
      <c r="L33" s="31"/>
      <c r="M33" s="31"/>
      <c r="N33" s="31"/>
      <c r="O33" s="31"/>
      <c r="P33" s="31">
        <f>(12/$O$3)*O33</f>
        <v>0</v>
      </c>
      <c r="Q33" s="31"/>
      <c r="R33" s="31"/>
      <c r="S33" s="31"/>
      <c r="T33" s="31"/>
      <c r="U33" s="51"/>
    </row>
    <row r="34" spans="1:21" ht="12.75" hidden="1">
      <c r="A34" s="22" t="s">
        <v>156</v>
      </c>
      <c r="B34" s="48">
        <v>52.35</v>
      </c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/>
      <c r="O34" s="31"/>
      <c r="P34" s="31"/>
      <c r="Q34" s="31"/>
      <c r="R34" s="31"/>
      <c r="S34" s="31"/>
      <c r="T34" s="31"/>
      <c r="U34" s="51"/>
    </row>
    <row r="35" spans="1:22" ht="12.75" hidden="1">
      <c r="A35" s="22" t="s">
        <v>392</v>
      </c>
      <c r="B35" s="48">
        <v>52.37</v>
      </c>
      <c r="C35" s="31"/>
      <c r="D35" s="31"/>
      <c r="E35" s="31"/>
      <c r="F35" s="31"/>
      <c r="G35" s="31">
        <v>299</v>
      </c>
      <c r="H35" s="31">
        <v>1033</v>
      </c>
      <c r="I35" s="31">
        <v>130</v>
      </c>
      <c r="J35" s="31">
        <f>60+78</f>
        <v>138</v>
      </c>
      <c r="K35" s="31"/>
      <c r="L35" s="31">
        <v>0</v>
      </c>
      <c r="M35" s="31"/>
      <c r="N35" s="31"/>
      <c r="O35" s="31"/>
      <c r="P35" s="31">
        <f>(12/$O$3)*O35</f>
        <v>0</v>
      </c>
      <c r="Q35" s="31"/>
      <c r="R35" s="31"/>
      <c r="S35" s="31"/>
      <c r="T35" s="31"/>
      <c r="U35" s="51"/>
      <c r="V35" s="31"/>
    </row>
    <row r="36" spans="1:22" ht="12.75" hidden="1">
      <c r="A36" s="22" t="s">
        <v>61</v>
      </c>
      <c r="B36" s="48"/>
      <c r="C36" s="31"/>
      <c r="D36" s="31"/>
      <c r="E36" s="31"/>
      <c r="F36" s="31"/>
      <c r="G36" s="31"/>
      <c r="H36" s="31"/>
      <c r="I36" s="31"/>
      <c r="J36" s="31"/>
      <c r="K36" s="31"/>
      <c r="L36" s="31">
        <v>0</v>
      </c>
      <c r="M36" s="31"/>
      <c r="N36" s="31"/>
      <c r="O36" s="31"/>
      <c r="P36" s="31"/>
      <c r="Q36" s="31"/>
      <c r="R36" s="31"/>
      <c r="S36" s="31"/>
      <c r="T36" s="31"/>
      <c r="U36" s="51"/>
      <c r="V36" s="31"/>
    </row>
    <row r="37" spans="2:22" ht="12.75">
      <c r="B37" s="4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51"/>
      <c r="V37" s="31"/>
    </row>
    <row r="38" spans="1:21" ht="12.75" hidden="1">
      <c r="A38" s="22" t="s">
        <v>173</v>
      </c>
      <c r="B38" s="48">
        <v>53.1321</v>
      </c>
      <c r="C38" s="31"/>
      <c r="D38" s="31">
        <v>1065</v>
      </c>
      <c r="E38" s="31">
        <v>1065</v>
      </c>
      <c r="F38" s="31">
        <v>2000</v>
      </c>
      <c r="G38" s="31"/>
      <c r="H38" s="31"/>
      <c r="I38" s="31"/>
      <c r="J38" s="31"/>
      <c r="K38" s="31"/>
      <c r="L38" s="31"/>
      <c r="M38" s="31"/>
      <c r="N38" s="31"/>
      <c r="O38" s="31"/>
      <c r="P38" s="31">
        <v>0</v>
      </c>
      <c r="Q38" s="31"/>
      <c r="R38" s="31"/>
      <c r="S38" s="31"/>
      <c r="T38" s="31"/>
      <c r="U38" s="51"/>
    </row>
    <row r="39" spans="1:21" ht="12.75" hidden="1">
      <c r="A39" s="22" t="s">
        <v>174</v>
      </c>
      <c r="B39" s="48">
        <v>53.134</v>
      </c>
      <c r="C39" s="31">
        <v>1310</v>
      </c>
      <c r="D39" s="31">
        <v>1550</v>
      </c>
      <c r="E39" s="31">
        <v>1385</v>
      </c>
      <c r="F39" s="31">
        <v>1685</v>
      </c>
      <c r="G39" s="31">
        <v>1632</v>
      </c>
      <c r="H39" s="31"/>
      <c r="I39" s="31"/>
      <c r="J39" s="31"/>
      <c r="K39" s="31"/>
      <c r="L39" s="31"/>
      <c r="M39" s="31"/>
      <c r="N39" s="31"/>
      <c r="O39" s="31"/>
      <c r="P39" s="31">
        <v>0</v>
      </c>
      <c r="Q39" s="31"/>
      <c r="R39" s="31"/>
      <c r="S39" s="31"/>
      <c r="T39" s="31"/>
      <c r="U39" s="51"/>
    </row>
    <row r="40" spans="1:21" ht="12.75" hidden="1">
      <c r="A40" s="22" t="s">
        <v>570</v>
      </c>
      <c r="B40" s="48">
        <v>53.16</v>
      </c>
      <c r="C40" s="31"/>
      <c r="D40" s="31"/>
      <c r="E40" s="31"/>
      <c r="F40" s="31"/>
      <c r="G40" s="31"/>
      <c r="H40" s="31"/>
      <c r="I40" s="31"/>
      <c r="J40" s="31">
        <v>2310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1"/>
    </row>
    <row r="41" spans="1:21" ht="12.75" hidden="1">
      <c r="A41" s="22" t="s">
        <v>391</v>
      </c>
      <c r="B41" s="48">
        <v>53.1702</v>
      </c>
      <c r="C41" s="31"/>
      <c r="D41" s="31">
        <v>5463</v>
      </c>
      <c r="E41" s="31">
        <v>45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f>(12/$O$3)*O41</f>
        <v>0</v>
      </c>
      <c r="Q41" s="31"/>
      <c r="R41" s="31"/>
      <c r="S41" s="31"/>
      <c r="T41" s="31"/>
      <c r="U41" s="51"/>
    </row>
    <row r="42" spans="1:21" ht="12.75">
      <c r="A42" s="22" t="s">
        <v>1000</v>
      </c>
      <c r="B42" s="48">
        <v>53.111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>
        <v>150</v>
      </c>
      <c r="O42" s="31">
        <v>405</v>
      </c>
      <c r="P42" s="31">
        <v>600</v>
      </c>
      <c r="Q42" s="31"/>
      <c r="R42" s="31">
        <v>500</v>
      </c>
      <c r="S42" s="31">
        <v>500</v>
      </c>
      <c r="T42" s="31">
        <v>500</v>
      </c>
      <c r="U42" s="51"/>
    </row>
    <row r="43" spans="1:21" ht="12.75">
      <c r="A43" s="22" t="s">
        <v>175</v>
      </c>
      <c r="B43" s="48">
        <v>53.1704</v>
      </c>
      <c r="C43" s="31">
        <v>9097</v>
      </c>
      <c r="D43" s="31">
        <v>4013</v>
      </c>
      <c r="E43" s="31">
        <v>3762</v>
      </c>
      <c r="F43" s="31">
        <v>2544</v>
      </c>
      <c r="G43" s="31">
        <v>3127</v>
      </c>
      <c r="H43" s="31">
        <v>590</v>
      </c>
      <c r="I43" s="31">
        <v>2200</v>
      </c>
      <c r="J43" s="31">
        <f>36+3337</f>
        <v>3373</v>
      </c>
      <c r="K43" s="31">
        <v>6466</v>
      </c>
      <c r="L43" s="31">
        <f>3626+76</f>
        <v>3702</v>
      </c>
      <c r="M43" s="31">
        <v>910</v>
      </c>
      <c r="N43" s="31">
        <v>508</v>
      </c>
      <c r="O43" s="11">
        <v>307</v>
      </c>
      <c r="P43" s="31">
        <f>(12/$O$3)*O43</f>
        <v>409.3333333333333</v>
      </c>
      <c r="Q43" s="31">
        <v>1500</v>
      </c>
      <c r="R43" s="31">
        <v>750</v>
      </c>
      <c r="S43" s="31">
        <v>750</v>
      </c>
      <c r="T43" s="31">
        <v>750</v>
      </c>
      <c r="U43" s="51">
        <f>(T43-Q43)/Q43</f>
        <v>-0.5</v>
      </c>
    </row>
    <row r="44" spans="1:22" ht="12.75">
      <c r="A44" s="22" t="s">
        <v>151</v>
      </c>
      <c r="B44" s="48">
        <v>53.171</v>
      </c>
      <c r="C44" s="31">
        <v>3500</v>
      </c>
      <c r="D44" s="31">
        <v>5080</v>
      </c>
      <c r="E44" s="31">
        <v>6741</v>
      </c>
      <c r="F44" s="31">
        <v>5447</v>
      </c>
      <c r="G44" s="31">
        <v>9187</v>
      </c>
      <c r="H44" s="31">
        <v>6428</v>
      </c>
      <c r="I44" s="31">
        <v>8048</v>
      </c>
      <c r="J44" s="31">
        <v>12273</v>
      </c>
      <c r="K44" s="31">
        <v>9361</v>
      </c>
      <c r="L44" s="31">
        <v>8533</v>
      </c>
      <c r="M44" s="31">
        <v>4329</v>
      </c>
      <c r="N44" s="31">
        <v>4624</v>
      </c>
      <c r="O44" s="11">
        <v>4729</v>
      </c>
      <c r="P44" s="31">
        <f>(12/$O$3)*O44</f>
        <v>6305.333333333333</v>
      </c>
      <c r="Q44" s="31">
        <v>6000</v>
      </c>
      <c r="R44" s="31">
        <v>6000</v>
      </c>
      <c r="S44" s="31">
        <v>6000</v>
      </c>
      <c r="T44" s="31">
        <v>6000</v>
      </c>
      <c r="U44" s="51">
        <f>(T44-Q44)/Q44</f>
        <v>0</v>
      </c>
      <c r="V44" s="22" t="s">
        <v>510</v>
      </c>
    </row>
    <row r="45" spans="1:21" ht="12.75" hidden="1">
      <c r="A45" s="22" t="s">
        <v>629</v>
      </c>
      <c r="B45" s="48">
        <v>53.1729</v>
      </c>
      <c r="C45" s="31"/>
      <c r="D45" s="31"/>
      <c r="E45" s="31"/>
      <c r="F45" s="31"/>
      <c r="G45" s="31"/>
      <c r="H45" s="31"/>
      <c r="I45" s="31">
        <v>1995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1"/>
    </row>
    <row r="46" spans="1:21" ht="12.75" hidden="1">
      <c r="A46" s="22" t="s">
        <v>176</v>
      </c>
      <c r="B46" s="48">
        <v>53.172</v>
      </c>
      <c r="C46" s="31">
        <v>120</v>
      </c>
      <c r="D46" s="31">
        <v>160</v>
      </c>
      <c r="E46" s="31"/>
      <c r="F46" s="31">
        <v>116</v>
      </c>
      <c r="G46" s="31"/>
      <c r="H46" s="31">
        <v>74</v>
      </c>
      <c r="I46" s="31"/>
      <c r="J46" s="31">
        <v>226</v>
      </c>
      <c r="K46" s="31"/>
      <c r="L46" s="31"/>
      <c r="M46" s="31"/>
      <c r="N46" s="31"/>
      <c r="O46" s="31"/>
      <c r="P46" s="31">
        <f aca="true" t="shared" si="1" ref="P46:P52">(12/$O$3)*O46</f>
        <v>0</v>
      </c>
      <c r="Q46" s="31"/>
      <c r="R46" s="31"/>
      <c r="S46" s="31"/>
      <c r="T46" s="31"/>
      <c r="U46" s="51"/>
    </row>
    <row r="47" spans="1:21" ht="12.75">
      <c r="A47" s="22" t="s">
        <v>177</v>
      </c>
      <c r="B47" s="48">
        <v>53.175</v>
      </c>
      <c r="C47" s="31">
        <v>280</v>
      </c>
      <c r="D47" s="31">
        <v>56</v>
      </c>
      <c r="E47" s="31">
        <v>2415</v>
      </c>
      <c r="F47" s="31">
        <v>709</v>
      </c>
      <c r="G47" s="31">
        <v>420</v>
      </c>
      <c r="H47" s="31">
        <v>1277</v>
      </c>
      <c r="I47" s="31">
        <v>2005</v>
      </c>
      <c r="J47" s="31">
        <f>1743+66</f>
        <v>1809</v>
      </c>
      <c r="K47" s="31">
        <f>2240+28</f>
        <v>2268</v>
      </c>
      <c r="L47" s="31">
        <v>2846</v>
      </c>
      <c r="M47" s="31">
        <v>1918</v>
      </c>
      <c r="N47" s="31">
        <v>1295</v>
      </c>
      <c r="O47" s="31">
        <v>813</v>
      </c>
      <c r="P47" s="31">
        <f t="shared" si="1"/>
        <v>1084</v>
      </c>
      <c r="Q47" s="31">
        <v>1900</v>
      </c>
      <c r="R47" s="31">
        <v>1300</v>
      </c>
      <c r="S47" s="31">
        <v>1300</v>
      </c>
      <c r="T47" s="31">
        <v>1300</v>
      </c>
      <c r="U47" s="51">
        <f>(T47-Q47)/Q47</f>
        <v>-0.3157894736842105</v>
      </c>
    </row>
    <row r="48" spans="1:21" ht="12.75">
      <c r="A48" s="22" t="s">
        <v>178</v>
      </c>
      <c r="B48" s="48">
        <v>53.176</v>
      </c>
      <c r="C48" s="31">
        <v>11</v>
      </c>
      <c r="D48" s="31">
        <v>3</v>
      </c>
      <c r="E48" s="31">
        <v>95</v>
      </c>
      <c r="F48" s="31">
        <v>70</v>
      </c>
      <c r="G48" s="31">
        <v>94</v>
      </c>
      <c r="H48" s="31">
        <v>210</v>
      </c>
      <c r="I48" s="31">
        <v>174</v>
      </c>
      <c r="J48" s="31">
        <v>266</v>
      </c>
      <c r="K48" s="31">
        <v>319</v>
      </c>
      <c r="L48" s="31">
        <v>282</v>
      </c>
      <c r="M48" s="31">
        <v>407</v>
      </c>
      <c r="N48" s="31">
        <v>260</v>
      </c>
      <c r="O48" s="31">
        <v>172</v>
      </c>
      <c r="P48" s="31">
        <f t="shared" si="1"/>
        <v>229.33333333333331</v>
      </c>
      <c r="Q48" s="31">
        <v>300</v>
      </c>
      <c r="R48" s="31">
        <v>300</v>
      </c>
      <c r="S48" s="31">
        <v>300</v>
      </c>
      <c r="T48" s="31">
        <v>300</v>
      </c>
      <c r="U48" s="51">
        <f>(T48-Q48)/Q48</f>
        <v>0</v>
      </c>
    </row>
    <row r="49" spans="1:21" ht="12.75">
      <c r="A49" s="22" t="s">
        <v>179</v>
      </c>
      <c r="B49" s="48">
        <v>53.177</v>
      </c>
      <c r="C49" s="31"/>
      <c r="D49" s="31"/>
      <c r="E49" s="31">
        <v>245</v>
      </c>
      <c r="F49" s="31">
        <v>175</v>
      </c>
      <c r="G49" s="31"/>
      <c r="H49" s="31">
        <v>751</v>
      </c>
      <c r="I49" s="31">
        <v>85</v>
      </c>
      <c r="J49" s="31">
        <v>458</v>
      </c>
      <c r="K49" s="31">
        <v>828</v>
      </c>
      <c r="L49" s="31">
        <v>376</v>
      </c>
      <c r="M49" s="31">
        <v>747</v>
      </c>
      <c r="N49" s="31">
        <v>425</v>
      </c>
      <c r="O49" s="31">
        <v>705</v>
      </c>
      <c r="P49" s="31">
        <f t="shared" si="1"/>
        <v>940</v>
      </c>
      <c r="Q49" s="31">
        <v>600</v>
      </c>
      <c r="R49" s="31">
        <v>500</v>
      </c>
      <c r="S49" s="31">
        <v>500</v>
      </c>
      <c r="T49" s="31">
        <v>500</v>
      </c>
      <c r="U49" s="51">
        <f>(T49-Q49)/Q49</f>
        <v>-0.16666666666666666</v>
      </c>
    </row>
    <row r="50" spans="1:21" ht="12.75">
      <c r="A50" s="22" t="s">
        <v>771</v>
      </c>
      <c r="B50" s="48">
        <v>53.178</v>
      </c>
      <c r="C50" s="31"/>
      <c r="D50" s="31"/>
      <c r="E50" s="31"/>
      <c r="F50" s="31"/>
      <c r="G50" s="31"/>
      <c r="H50" s="31"/>
      <c r="I50" s="31"/>
      <c r="J50" s="31"/>
      <c r="K50" s="31">
        <v>150</v>
      </c>
      <c r="L50" s="31">
        <v>241</v>
      </c>
      <c r="M50" s="31">
        <v>98</v>
      </c>
      <c r="N50" s="31"/>
      <c r="O50" s="31"/>
      <c r="P50" s="31">
        <f t="shared" si="1"/>
        <v>0</v>
      </c>
      <c r="Q50" s="31"/>
      <c r="R50" s="31"/>
      <c r="S50" s="31"/>
      <c r="T50" s="31"/>
      <c r="U50" s="51"/>
    </row>
    <row r="51" spans="1:22" ht="12.75">
      <c r="A51" s="22" t="s">
        <v>180</v>
      </c>
      <c r="B51" s="48">
        <v>53.179</v>
      </c>
      <c r="C51" s="31">
        <v>5</v>
      </c>
      <c r="D51" s="31">
        <v>49</v>
      </c>
      <c r="E51" s="31">
        <v>516</v>
      </c>
      <c r="F51" s="31">
        <v>58</v>
      </c>
      <c r="G51" s="31">
        <v>1353</v>
      </c>
      <c r="H51" s="31">
        <v>3172</v>
      </c>
      <c r="I51" s="31">
        <v>3781</v>
      </c>
      <c r="J51" s="31">
        <v>5727</v>
      </c>
      <c r="K51" s="31">
        <v>5605</v>
      </c>
      <c r="L51" s="31">
        <v>9560</v>
      </c>
      <c r="M51" s="31">
        <v>6980</v>
      </c>
      <c r="N51" s="31">
        <v>8996</v>
      </c>
      <c r="O51" s="31">
        <v>6635</v>
      </c>
      <c r="P51" s="31">
        <f t="shared" si="1"/>
        <v>8846.666666666666</v>
      </c>
      <c r="Q51" s="31">
        <v>8400</v>
      </c>
      <c r="R51" s="31">
        <v>8400</v>
      </c>
      <c r="S51" s="31">
        <v>8400</v>
      </c>
      <c r="T51" s="31">
        <v>8400</v>
      </c>
      <c r="U51" s="51">
        <f>(T51-Q51)/Q51</f>
        <v>0</v>
      </c>
      <c r="V51" s="22" t="s">
        <v>510</v>
      </c>
    </row>
    <row r="52" spans="1:21" ht="12.75">
      <c r="A52" s="22" t="s">
        <v>241</v>
      </c>
      <c r="B52" s="48">
        <v>53.18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v>64</v>
      </c>
      <c r="M52" s="31">
        <v>38</v>
      </c>
      <c r="N52" s="31">
        <v>90</v>
      </c>
      <c r="O52" s="31">
        <v>75</v>
      </c>
      <c r="P52" s="31">
        <f t="shared" si="1"/>
        <v>100</v>
      </c>
      <c r="Q52" s="31"/>
      <c r="R52" s="31"/>
      <c r="S52" s="31"/>
      <c r="T52" s="31"/>
      <c r="U52" s="51"/>
    </row>
    <row r="53" spans="16:21" ht="12.75">
      <c r="P53" s="31"/>
      <c r="U53" s="51"/>
    </row>
    <row r="54" spans="1:21" ht="12.75" hidden="1">
      <c r="A54" s="22" t="s">
        <v>369</v>
      </c>
      <c r="B54" s="48">
        <v>54.22</v>
      </c>
      <c r="F54" s="22">
        <v>5238</v>
      </c>
      <c r="I54" s="22">
        <v>15376</v>
      </c>
      <c r="P54" s="31"/>
      <c r="U54" s="51"/>
    </row>
    <row r="55" spans="1:21" ht="12.75">
      <c r="A55" s="22" t="s">
        <v>229</v>
      </c>
      <c r="B55" s="48">
        <v>54.24</v>
      </c>
      <c r="E55" s="31">
        <v>11308</v>
      </c>
      <c r="G55" s="22">
        <v>2341</v>
      </c>
      <c r="I55" s="22">
        <v>2687</v>
      </c>
      <c r="K55" s="22">
        <v>364</v>
      </c>
      <c r="P55" s="31"/>
      <c r="U55" s="51"/>
    </row>
    <row r="56" spans="1:21" ht="12.75" hidden="1">
      <c r="A56" s="22" t="s">
        <v>433</v>
      </c>
      <c r="B56" s="48">
        <v>54.2402</v>
      </c>
      <c r="E56" s="31"/>
      <c r="G56" s="22">
        <v>19041</v>
      </c>
      <c r="I56" s="22">
        <v>1200</v>
      </c>
      <c r="J56" s="22">
        <v>1200</v>
      </c>
      <c r="P56" s="31"/>
      <c r="U56" s="51"/>
    </row>
    <row r="57" spans="1:21" ht="12.75">
      <c r="A57" s="22" t="s">
        <v>181</v>
      </c>
      <c r="B57" s="48">
        <v>54.25</v>
      </c>
      <c r="C57" s="31"/>
      <c r="D57" s="31"/>
      <c r="E57" s="31">
        <v>8587</v>
      </c>
      <c r="F57" s="31">
        <v>4841</v>
      </c>
      <c r="G57" s="31">
        <v>1203</v>
      </c>
      <c r="H57" s="31"/>
      <c r="I57" s="31">
        <v>2100</v>
      </c>
      <c r="J57" s="31"/>
      <c r="K57" s="31"/>
      <c r="L57" s="31">
        <v>737</v>
      </c>
      <c r="M57" s="31"/>
      <c r="N57" s="31"/>
      <c r="O57" s="31"/>
      <c r="P57" s="31"/>
      <c r="Q57" s="31"/>
      <c r="R57" s="31"/>
      <c r="S57" s="31"/>
      <c r="T57" s="31"/>
      <c r="U57" s="51"/>
    </row>
    <row r="58" spans="1:21" ht="12.75" hidden="1">
      <c r="A58" s="22" t="s">
        <v>648</v>
      </c>
      <c r="B58" s="48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51"/>
    </row>
    <row r="59" spans="1:21" ht="12.75">
      <c r="A59" s="22" t="s">
        <v>896</v>
      </c>
      <c r="B59" s="48"/>
      <c r="C59" s="31"/>
      <c r="D59" s="31"/>
      <c r="E59" s="31"/>
      <c r="F59" s="31"/>
      <c r="G59" s="31"/>
      <c r="H59" s="31"/>
      <c r="I59" s="31"/>
      <c r="J59" s="31"/>
      <c r="K59" s="31"/>
      <c r="L59" s="31">
        <v>940</v>
      </c>
      <c r="M59" s="31"/>
      <c r="N59" s="31"/>
      <c r="O59" s="31"/>
      <c r="P59" s="31"/>
      <c r="Q59" s="31"/>
      <c r="R59" s="31"/>
      <c r="S59" s="31"/>
      <c r="T59" s="31"/>
      <c r="U59" s="51"/>
    </row>
    <row r="60" spans="2:21" ht="12.75">
      <c r="B60" s="48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51"/>
    </row>
    <row r="61" spans="1:21" ht="12.75">
      <c r="A61" s="45" t="s">
        <v>182</v>
      </c>
      <c r="B61" s="48">
        <v>57.9</v>
      </c>
      <c r="C61" s="31"/>
      <c r="D61" s="31"/>
      <c r="E61" s="31"/>
      <c r="F61" s="31"/>
      <c r="G61" s="31"/>
      <c r="H61" s="31"/>
      <c r="I61" s="31"/>
      <c r="J61" s="31"/>
      <c r="K61" s="31">
        <v>32208</v>
      </c>
      <c r="L61" s="31">
        <f>10043+120</f>
        <v>10163</v>
      </c>
      <c r="M61" s="31">
        <v>9041</v>
      </c>
      <c r="N61" s="31">
        <v>95550</v>
      </c>
      <c r="O61" s="31">
        <v>6126</v>
      </c>
      <c r="P61" s="31">
        <v>50000</v>
      </c>
      <c r="Q61" s="31">
        <v>50000</v>
      </c>
      <c r="R61" s="31">
        <v>50000</v>
      </c>
      <c r="S61" s="31">
        <v>50000</v>
      </c>
      <c r="T61" s="31">
        <v>50000</v>
      </c>
      <c r="U61" s="51">
        <f>(T61-Q61)/Q61</f>
        <v>0</v>
      </c>
    </row>
    <row r="62" spans="1:22" ht="12.75">
      <c r="A62" s="22" t="s">
        <v>603</v>
      </c>
      <c r="B62" s="48"/>
      <c r="C62" s="31"/>
      <c r="D62" s="31"/>
      <c r="E62" s="31"/>
      <c r="F62" s="31"/>
      <c r="G62" s="31"/>
      <c r="H62" s="31">
        <v>2500</v>
      </c>
      <c r="I62" s="31"/>
      <c r="J62" s="31">
        <v>1118</v>
      </c>
      <c r="K62" s="31"/>
      <c r="L62" s="31"/>
      <c r="M62" s="31"/>
      <c r="N62" s="31"/>
      <c r="O62" s="31"/>
      <c r="P62" s="31">
        <f>(12/$O$3)*O62</f>
        <v>0</v>
      </c>
      <c r="Q62" s="31"/>
      <c r="R62" s="31"/>
      <c r="S62" s="31"/>
      <c r="T62" s="31"/>
      <c r="U62" s="51"/>
      <c r="V62" s="45"/>
    </row>
    <row r="63" spans="1:21" ht="12.75">
      <c r="A63" s="22" t="s">
        <v>330</v>
      </c>
      <c r="B63" s="48"/>
      <c r="C63" s="53"/>
      <c r="D63" s="24">
        <v>5363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31">
        <f>(12/$O$3)*O63</f>
        <v>0</v>
      </c>
      <c r="Q63" s="53"/>
      <c r="R63" s="53"/>
      <c r="S63" s="53"/>
      <c r="T63" s="53"/>
      <c r="U63" s="51"/>
    </row>
    <row r="64" spans="1:21" ht="12.75">
      <c r="A64" s="45" t="s">
        <v>119</v>
      </c>
      <c r="B64" s="45"/>
      <c r="C64" s="46">
        <v>49231</v>
      </c>
      <c r="D64" s="46">
        <v>69751</v>
      </c>
      <c r="E64" s="46">
        <v>96592</v>
      </c>
      <c r="F64" s="46">
        <v>137104</v>
      </c>
      <c r="G64" s="46">
        <v>155005</v>
      </c>
      <c r="H64" s="46">
        <v>101483</v>
      </c>
      <c r="I64" s="46">
        <v>247308</v>
      </c>
      <c r="J64" s="46">
        <v>121413</v>
      </c>
      <c r="K64" s="46">
        <f>SUM(K7:K63)</f>
        <v>155968.96</v>
      </c>
      <c r="L64" s="46">
        <v>110401</v>
      </c>
      <c r="M64" s="46">
        <v>81861</v>
      </c>
      <c r="N64" s="46">
        <v>171151</v>
      </c>
      <c r="O64" s="46">
        <f aca="true" t="shared" si="2" ref="O64:T64">SUM(O7:O63)</f>
        <v>65164</v>
      </c>
      <c r="P64" s="46">
        <f t="shared" si="2"/>
        <v>127650.20133333333</v>
      </c>
      <c r="Q64" s="46">
        <f t="shared" si="2"/>
        <v>134613.7405</v>
      </c>
      <c r="R64" s="46">
        <f t="shared" si="2"/>
        <v>110781.583</v>
      </c>
      <c r="S64" s="46">
        <f t="shared" si="2"/>
        <v>110781.583</v>
      </c>
      <c r="T64" s="46">
        <f t="shared" si="2"/>
        <v>110781.583</v>
      </c>
      <c r="U64" s="52">
        <f>(T64-Q64)/Q64</f>
        <v>-0.1770410465638908</v>
      </c>
    </row>
    <row r="65" spans="1:21" ht="12.75">
      <c r="A65" s="45"/>
      <c r="B65" s="4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2"/>
    </row>
    <row r="66" spans="17:19" ht="12.75">
      <c r="Q66" s="22" t="s">
        <v>484</v>
      </c>
      <c r="S66" s="55">
        <f>R64-S64</f>
        <v>0</v>
      </c>
    </row>
    <row r="67" spans="1:19" ht="12.75">
      <c r="A67" s="25"/>
      <c r="E67" s="22">
        <v>74000</v>
      </c>
      <c r="Q67" s="22" t="s">
        <v>725</v>
      </c>
      <c r="S67" s="55">
        <f>Q64-S64</f>
        <v>23832.157500000016</v>
      </c>
    </row>
    <row r="68" spans="1:19" ht="12.75">
      <c r="A68" s="25"/>
      <c r="E68" s="22">
        <v>50000</v>
      </c>
      <c r="Q68" s="22" t="s">
        <v>432</v>
      </c>
      <c r="S68" s="55">
        <f>S64-T64</f>
        <v>0</v>
      </c>
    </row>
    <row r="71" ht="12.75">
      <c r="A71" t="s">
        <v>1048</v>
      </c>
    </row>
    <row r="72" ht="12.75">
      <c r="A72" s="22" t="s">
        <v>1065</v>
      </c>
    </row>
    <row r="73" ht="12.75">
      <c r="A73" s="22" t="s">
        <v>1098</v>
      </c>
    </row>
    <row r="103" spans="3:21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3:21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3:21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3:21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3:21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3:21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</sheetData>
  <printOptions gridLines="1"/>
  <pageMargins left="0.25" right="0.25" top="1" bottom="0.55" header="0.5" footer="0.25"/>
  <pageSetup fitToHeight="1" fitToWidth="1" horizontalDpi="300" verticalDpi="300" orientation="landscape" scale="72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96"/>
  <sheetViews>
    <sheetView zoomScale="75" zoomScaleNormal="75" workbookViewId="0" topLeftCell="A1">
      <selection activeCell="T7" sqref="T7:T42"/>
    </sheetView>
  </sheetViews>
  <sheetFormatPr defaultColWidth="9.140625" defaultRowHeight="12.75"/>
  <cols>
    <col min="1" max="1" width="34.00390625" style="0" customWidth="1"/>
    <col min="2" max="2" width="9.421875" style="0" customWidth="1"/>
    <col min="3" max="3" width="0.1367187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20" width="10.8515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479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/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652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48159</v>
      </c>
      <c r="N7" s="2">
        <v>46979</v>
      </c>
      <c r="O7" s="2">
        <v>36605</v>
      </c>
      <c r="P7" s="2">
        <f aca="true" t="shared" si="0" ref="P7:P45">+O7/$O$3*12</f>
        <v>48806.666666666664</v>
      </c>
      <c r="Q7" s="2">
        <v>48795</v>
      </c>
      <c r="R7" s="2">
        <v>50295</v>
      </c>
      <c r="S7" s="2">
        <v>46103</v>
      </c>
      <c r="T7" s="2">
        <v>46103</v>
      </c>
      <c r="U7" s="89">
        <f>(T7-Q7)/Q7</f>
        <v>-0.05516958704785326</v>
      </c>
      <c r="V7" s="2" t="s">
        <v>14</v>
      </c>
    </row>
    <row r="8" spans="1:21" ht="12.75">
      <c r="A8" t="s">
        <v>141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4157</v>
      </c>
      <c r="N8" s="2">
        <v>4205</v>
      </c>
      <c r="O8" s="2">
        <v>2655</v>
      </c>
      <c r="P8" s="2">
        <f t="shared" si="0"/>
        <v>3540</v>
      </c>
      <c r="Q8" s="2">
        <f>Q7*0.0765</f>
        <v>3732.8175</v>
      </c>
      <c r="R8" s="2">
        <f>R7*0.0765</f>
        <v>3847.5675</v>
      </c>
      <c r="S8" s="2">
        <f>S7*0.0765</f>
        <v>3526.8795</v>
      </c>
      <c r="T8" s="2">
        <v>3526.8795</v>
      </c>
      <c r="U8" s="89">
        <f>(T8-Q8)/Q8</f>
        <v>-0.05516958704785329</v>
      </c>
    </row>
    <row r="9" spans="1:21" ht="12.75">
      <c r="A9" t="s">
        <v>309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1892</v>
      </c>
      <c r="N9" s="2">
        <v>2177</v>
      </c>
      <c r="O9" s="2">
        <v>2006</v>
      </c>
      <c r="P9" s="2">
        <f t="shared" si="0"/>
        <v>2674.6666666666665</v>
      </c>
      <c r="Q9" s="2">
        <v>2046</v>
      </c>
      <c r="R9" s="2">
        <v>2300</v>
      </c>
      <c r="S9" s="2">
        <v>2300</v>
      </c>
      <c r="T9" s="2">
        <v>2300</v>
      </c>
      <c r="U9" s="89">
        <f>(T9-Q9)/Q9</f>
        <v>0.1241446725317693</v>
      </c>
    </row>
    <row r="10" spans="1:22" ht="12.75">
      <c r="A10" t="s">
        <v>490</v>
      </c>
      <c r="B10" s="4">
        <v>51.21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5351</v>
      </c>
      <c r="S10" s="2">
        <v>5351</v>
      </c>
      <c r="T10" s="2">
        <v>5351</v>
      </c>
      <c r="U10" s="89"/>
      <c r="V10" t="s">
        <v>31</v>
      </c>
    </row>
    <row r="11" spans="1:21" ht="12.75">
      <c r="A11" t="s">
        <v>1094</v>
      </c>
      <c r="B11" s="4">
        <v>51.27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200</v>
      </c>
      <c r="P11" s="2">
        <v>200</v>
      </c>
      <c r="Q11" s="2"/>
      <c r="R11" s="2">
        <v>200</v>
      </c>
      <c r="S11" s="2">
        <v>200</v>
      </c>
      <c r="T11" s="2">
        <v>200</v>
      </c>
      <c r="U11" s="89"/>
    </row>
    <row r="12" spans="2:21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9"/>
    </row>
    <row r="13" spans="1:21" ht="12.75">
      <c r="A13" t="s">
        <v>1095</v>
      </c>
      <c r="B13" s="4">
        <v>52.126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52</v>
      </c>
      <c r="P13" s="2">
        <v>52</v>
      </c>
      <c r="Q13" s="2"/>
      <c r="R13" s="2"/>
      <c r="S13" s="2"/>
      <c r="T13" s="2"/>
      <c r="U13" s="89"/>
    </row>
    <row r="14" spans="1:21" ht="12.75">
      <c r="A14" t="s">
        <v>75</v>
      </c>
      <c r="B14" s="4">
        <v>52.1316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869</v>
      </c>
      <c r="O14" s="2">
        <v>453</v>
      </c>
      <c r="P14" s="2">
        <f t="shared" si="0"/>
        <v>604</v>
      </c>
      <c r="Q14" s="2">
        <v>656</v>
      </c>
      <c r="R14" s="2">
        <v>656</v>
      </c>
      <c r="S14" s="2">
        <v>656</v>
      </c>
      <c r="T14" s="2">
        <v>656</v>
      </c>
      <c r="U14" s="89"/>
    </row>
    <row r="15" spans="1:22" ht="12.75">
      <c r="A15" t="s">
        <v>197</v>
      </c>
      <c r="B15" s="4">
        <v>52.211</v>
      </c>
      <c r="C15" s="2"/>
      <c r="D15" s="2"/>
      <c r="E15" s="2">
        <v>300</v>
      </c>
      <c r="F15" s="2">
        <v>135</v>
      </c>
      <c r="G15" s="2">
        <v>535</v>
      </c>
      <c r="H15" s="2">
        <v>449</v>
      </c>
      <c r="I15" s="2">
        <v>397</v>
      </c>
      <c r="J15" s="2">
        <v>380</v>
      </c>
      <c r="K15" s="2">
        <v>521</v>
      </c>
      <c r="L15" s="2"/>
      <c r="M15" s="2">
        <v>342</v>
      </c>
      <c r="N15" s="2">
        <v>203</v>
      </c>
      <c r="O15" s="11">
        <v>140</v>
      </c>
      <c r="P15" s="2">
        <f t="shared" si="0"/>
        <v>186.66666666666666</v>
      </c>
      <c r="Q15" s="2">
        <v>400</v>
      </c>
      <c r="R15" s="2">
        <v>200</v>
      </c>
      <c r="S15" s="2">
        <v>200</v>
      </c>
      <c r="T15" s="2">
        <v>200</v>
      </c>
      <c r="U15" s="89">
        <f>(T15-Q15)/Q15</f>
        <v>-0.5</v>
      </c>
      <c r="V15" s="15"/>
    </row>
    <row r="16" spans="1:21" ht="12.75">
      <c r="A16" t="s">
        <v>164</v>
      </c>
      <c r="B16" s="4">
        <v>52.2204</v>
      </c>
      <c r="C16" s="2">
        <v>612</v>
      </c>
      <c r="D16" s="2">
        <v>781</v>
      </c>
      <c r="E16" s="2">
        <v>611</v>
      </c>
      <c r="F16" s="2">
        <v>450</v>
      </c>
      <c r="G16" s="2">
        <v>468</v>
      </c>
      <c r="H16" s="2">
        <v>486</v>
      </c>
      <c r="I16" s="2">
        <v>672</v>
      </c>
      <c r="J16" s="2">
        <v>944</v>
      </c>
      <c r="K16" s="2">
        <v>342</v>
      </c>
      <c r="L16" s="2">
        <v>471</v>
      </c>
      <c r="M16" s="2">
        <v>494</v>
      </c>
      <c r="N16" s="2"/>
      <c r="O16" s="11"/>
      <c r="P16" s="2">
        <f t="shared" si="0"/>
        <v>0</v>
      </c>
      <c r="Q16" s="2"/>
      <c r="R16" s="2"/>
      <c r="S16" s="2"/>
      <c r="T16" s="2"/>
      <c r="U16" s="89"/>
    </row>
    <row r="17" spans="1:21" ht="12.75" hidden="1">
      <c r="A17" t="s">
        <v>200</v>
      </c>
      <c r="B17" s="4">
        <v>52.2205</v>
      </c>
      <c r="C17" s="2"/>
      <c r="D17" s="2"/>
      <c r="E17" s="2">
        <v>75</v>
      </c>
      <c r="F17" s="2"/>
      <c r="G17" s="2"/>
      <c r="H17" s="2"/>
      <c r="I17" s="2"/>
      <c r="J17" s="2"/>
      <c r="K17" s="2"/>
      <c r="L17" s="2"/>
      <c r="M17" s="2"/>
      <c r="N17" s="2"/>
      <c r="P17" s="2">
        <f t="shared" si="0"/>
        <v>0</v>
      </c>
      <c r="Q17" s="2"/>
      <c r="R17" s="2"/>
      <c r="S17" s="2"/>
      <c r="T17" s="2"/>
      <c r="U17" s="89"/>
    </row>
    <row r="18" spans="1:21" ht="12.75" hidden="1">
      <c r="A18" t="s">
        <v>266</v>
      </c>
      <c r="B18" s="4">
        <v>52.2206</v>
      </c>
      <c r="C18" s="2"/>
      <c r="D18" s="2"/>
      <c r="E18" s="2">
        <v>25</v>
      </c>
      <c r="F18" s="2"/>
      <c r="G18" s="2">
        <v>225</v>
      </c>
      <c r="H18" s="2"/>
      <c r="I18" s="2"/>
      <c r="J18" s="2"/>
      <c r="K18" s="2">
        <v>80</v>
      </c>
      <c r="L18" s="2">
        <v>464</v>
      </c>
      <c r="M18" s="2"/>
      <c r="N18" s="2"/>
      <c r="P18" s="2">
        <f t="shared" si="0"/>
        <v>0</v>
      </c>
      <c r="Q18" s="2"/>
      <c r="R18" s="2"/>
      <c r="S18" s="2"/>
      <c r="T18" s="2"/>
      <c r="U18" s="89"/>
    </row>
    <row r="19" spans="1:21" ht="12.75">
      <c r="A19" t="s">
        <v>266</v>
      </c>
      <c r="B19" s="4">
        <v>52.2206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335</v>
      </c>
      <c r="O19">
        <v>68</v>
      </c>
      <c r="P19" s="2">
        <v>70</v>
      </c>
      <c r="Q19" s="2"/>
      <c r="R19" s="2"/>
      <c r="S19" s="2"/>
      <c r="T19" s="2"/>
      <c r="U19" s="89"/>
    </row>
    <row r="20" spans="1:22" ht="12.75">
      <c r="A20" t="s">
        <v>143</v>
      </c>
      <c r="B20" s="4">
        <v>52.32</v>
      </c>
      <c r="C20" s="2">
        <v>3720</v>
      </c>
      <c r="D20" s="2">
        <v>3618</v>
      </c>
      <c r="E20" s="2">
        <v>3841</v>
      </c>
      <c r="F20" s="2">
        <v>3512</v>
      </c>
      <c r="G20" s="2">
        <v>3446</v>
      </c>
      <c r="H20" s="2">
        <v>3697</v>
      </c>
      <c r="I20" s="2">
        <v>4072</v>
      </c>
      <c r="J20" s="2">
        <v>4256</v>
      </c>
      <c r="K20" s="2">
        <v>3475</v>
      </c>
      <c r="L20" s="2">
        <v>3663</v>
      </c>
      <c r="M20" s="2">
        <v>3705</v>
      </c>
      <c r="N20" s="2">
        <v>3852</v>
      </c>
      <c r="O20" s="11">
        <v>2858</v>
      </c>
      <c r="P20" s="2">
        <f t="shared" si="0"/>
        <v>3810.6666666666665</v>
      </c>
      <c r="Q20" s="2">
        <v>3700</v>
      </c>
      <c r="R20" s="2">
        <v>3700</v>
      </c>
      <c r="S20" s="2">
        <v>3000</v>
      </c>
      <c r="T20" s="2">
        <v>3000</v>
      </c>
      <c r="U20" s="89">
        <f>(T20-Q20)/Q20</f>
        <v>-0.1891891891891892</v>
      </c>
      <c r="V20" t="s">
        <v>575</v>
      </c>
    </row>
    <row r="21" spans="1:21" ht="12.75">
      <c r="A21" t="s">
        <v>144</v>
      </c>
      <c r="B21" s="4">
        <v>52.321</v>
      </c>
      <c r="C21" s="2">
        <v>210</v>
      </c>
      <c r="D21" s="2">
        <v>244</v>
      </c>
      <c r="E21" s="2">
        <v>47</v>
      </c>
      <c r="F21" s="2">
        <v>241</v>
      </c>
      <c r="G21" s="2">
        <v>296</v>
      </c>
      <c r="H21" s="2">
        <v>259</v>
      </c>
      <c r="I21" s="2">
        <v>222</v>
      </c>
      <c r="J21" s="2">
        <v>300</v>
      </c>
      <c r="K21" s="2">
        <v>173</v>
      </c>
      <c r="L21" s="2">
        <v>251</v>
      </c>
      <c r="M21" s="2">
        <v>30</v>
      </c>
      <c r="N21" s="2"/>
      <c r="O21" s="11">
        <v>44</v>
      </c>
      <c r="P21" s="2">
        <f t="shared" si="0"/>
        <v>58.66666666666667</v>
      </c>
      <c r="Q21" s="2">
        <v>30</v>
      </c>
      <c r="R21" s="2">
        <v>230</v>
      </c>
      <c r="S21" s="2">
        <v>30</v>
      </c>
      <c r="T21" s="2">
        <v>30</v>
      </c>
      <c r="U21" s="89">
        <f>(T21-Q21)/Q21</f>
        <v>0</v>
      </c>
    </row>
    <row r="22" spans="1:21" ht="12.75">
      <c r="A22" t="s">
        <v>156</v>
      </c>
      <c r="B22" s="4">
        <v>52.35</v>
      </c>
      <c r="C22" s="2">
        <v>2596</v>
      </c>
      <c r="D22" s="2">
        <v>1770</v>
      </c>
      <c r="E22" s="2">
        <v>2587</v>
      </c>
      <c r="F22" s="2">
        <v>1909</v>
      </c>
      <c r="G22" s="2">
        <v>1983</v>
      </c>
      <c r="H22" s="2">
        <v>1260</v>
      </c>
      <c r="I22" s="2">
        <v>951</v>
      </c>
      <c r="J22" s="2">
        <v>739</v>
      </c>
      <c r="K22" s="2">
        <v>641</v>
      </c>
      <c r="L22" s="2">
        <v>567</v>
      </c>
      <c r="M22" s="2">
        <v>470</v>
      </c>
      <c r="N22" s="2">
        <v>428</v>
      </c>
      <c r="O22" s="11">
        <v>160</v>
      </c>
      <c r="P22" s="2">
        <f t="shared" si="0"/>
        <v>213.33333333333334</v>
      </c>
      <c r="Q22" s="2">
        <v>321</v>
      </c>
      <c r="R22" s="2">
        <v>400</v>
      </c>
      <c r="S22" s="2">
        <v>300</v>
      </c>
      <c r="T22" s="2">
        <v>300</v>
      </c>
      <c r="U22" s="89">
        <f>(T22-Q22)/Q22</f>
        <v>-0.06542056074766354</v>
      </c>
    </row>
    <row r="23" spans="1:21" ht="12.75" hidden="1">
      <c r="A23" t="s">
        <v>146</v>
      </c>
      <c r="B23" s="4">
        <v>52.3602</v>
      </c>
      <c r="C23" s="2"/>
      <c r="D23" s="2">
        <v>200</v>
      </c>
      <c r="E23" s="2">
        <v>420</v>
      </c>
      <c r="F23" s="2">
        <v>350</v>
      </c>
      <c r="G23" s="2">
        <v>355</v>
      </c>
      <c r="H23" s="2"/>
      <c r="I23" s="2"/>
      <c r="J23" s="2"/>
      <c r="K23" s="2"/>
      <c r="L23" s="2"/>
      <c r="M23" s="2"/>
      <c r="N23" s="2"/>
      <c r="P23" s="2"/>
      <c r="Q23" s="2"/>
      <c r="R23" s="2"/>
      <c r="S23" s="2"/>
      <c r="T23" s="2"/>
      <c r="U23" s="89"/>
    </row>
    <row r="24" spans="1:21" ht="12.75">
      <c r="A24" t="s">
        <v>157</v>
      </c>
      <c r="B24" s="4">
        <v>52.37</v>
      </c>
      <c r="C24" s="2"/>
      <c r="D24" s="2"/>
      <c r="E24" s="2">
        <v>650</v>
      </c>
      <c r="F24" s="2">
        <v>375</v>
      </c>
      <c r="G24" s="2">
        <v>862</v>
      </c>
      <c r="H24" s="2">
        <v>905</v>
      </c>
      <c r="I24" s="2"/>
      <c r="J24" s="2">
        <v>30</v>
      </c>
      <c r="K24" s="2">
        <v>1160</v>
      </c>
      <c r="L24" s="2">
        <v>795</v>
      </c>
      <c r="M24" s="2">
        <v>150</v>
      </c>
      <c r="N24" s="2">
        <v>105</v>
      </c>
      <c r="O24" s="11">
        <v>140</v>
      </c>
      <c r="P24" s="2">
        <f t="shared" si="0"/>
        <v>186.66666666666666</v>
      </c>
      <c r="Q24" s="2">
        <v>150</v>
      </c>
      <c r="R24" s="2">
        <v>450</v>
      </c>
      <c r="S24" s="2">
        <v>150</v>
      </c>
      <c r="T24" s="2">
        <v>150</v>
      </c>
      <c r="U24" s="89"/>
    </row>
    <row r="25" spans="2:21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9"/>
    </row>
    <row r="26" spans="1:21" ht="12.75">
      <c r="A26" t="s">
        <v>150</v>
      </c>
      <c r="B26" s="4">
        <v>53.12</v>
      </c>
      <c r="C26" s="2">
        <v>7013</v>
      </c>
      <c r="D26" s="2">
        <v>6976</v>
      </c>
      <c r="E26" s="2">
        <v>142</v>
      </c>
      <c r="F26" s="2">
        <v>6704</v>
      </c>
      <c r="G26" s="2">
        <v>8790</v>
      </c>
      <c r="H26" s="2">
        <v>8778</v>
      </c>
      <c r="I26" s="2">
        <v>7996</v>
      </c>
      <c r="J26" s="2">
        <v>6842</v>
      </c>
      <c r="K26" s="2">
        <v>6607</v>
      </c>
      <c r="L26" s="2">
        <v>8056</v>
      </c>
      <c r="M26" s="2">
        <v>7145</v>
      </c>
      <c r="N26" s="2">
        <v>7148</v>
      </c>
      <c r="O26" s="2">
        <v>5514</v>
      </c>
      <c r="P26" s="2">
        <f t="shared" si="0"/>
        <v>7352</v>
      </c>
      <c r="Q26" s="2">
        <v>7400</v>
      </c>
      <c r="R26" s="2">
        <v>7400</v>
      </c>
      <c r="S26" s="2">
        <v>7000</v>
      </c>
      <c r="T26" s="2">
        <v>7000</v>
      </c>
      <c r="U26" s="89">
        <f>(T26-Q26)/Q26</f>
        <v>-0.05405405405405406</v>
      </c>
    </row>
    <row r="27" spans="1:21" ht="12.75" hidden="1">
      <c r="A27" t="s">
        <v>378</v>
      </c>
      <c r="B27" s="4">
        <v>53.121</v>
      </c>
      <c r="C27" s="2"/>
      <c r="D27" s="2"/>
      <c r="E27" s="2">
        <v>544</v>
      </c>
      <c r="F27" s="2"/>
      <c r="G27" s="2"/>
      <c r="H27" s="2"/>
      <c r="I27" s="2"/>
      <c r="J27" s="2"/>
      <c r="K27" s="2"/>
      <c r="L27" s="2"/>
      <c r="M27" s="2"/>
      <c r="N27" s="2"/>
      <c r="P27" s="2">
        <f t="shared" si="0"/>
        <v>0</v>
      </c>
      <c r="Q27" s="2"/>
      <c r="R27" s="2"/>
      <c r="S27" s="2"/>
      <c r="T27" s="2"/>
      <c r="U27" s="89"/>
    </row>
    <row r="28" spans="1:21" ht="12.75" hidden="1">
      <c r="A28" t="s">
        <v>379</v>
      </c>
      <c r="B28" s="4">
        <v>53.122</v>
      </c>
      <c r="C28" s="2"/>
      <c r="D28" s="2"/>
      <c r="E28" s="2">
        <v>1666</v>
      </c>
      <c r="F28" s="2"/>
      <c r="G28" s="2"/>
      <c r="H28" s="2"/>
      <c r="I28" s="2"/>
      <c r="J28" s="2"/>
      <c r="K28" s="2"/>
      <c r="L28" s="2"/>
      <c r="M28" s="2"/>
      <c r="N28" s="2"/>
      <c r="P28" s="2">
        <f t="shared" si="0"/>
        <v>0</v>
      </c>
      <c r="Q28" s="2"/>
      <c r="R28" s="2"/>
      <c r="S28" s="2"/>
      <c r="T28" s="2"/>
      <c r="U28" s="89"/>
    </row>
    <row r="29" spans="1:21" ht="12.75" hidden="1">
      <c r="A29" t="s">
        <v>365</v>
      </c>
      <c r="B29" s="4">
        <v>53.123</v>
      </c>
      <c r="C29" s="2"/>
      <c r="D29" s="2"/>
      <c r="E29" s="2">
        <v>5115</v>
      </c>
      <c r="F29" s="2"/>
      <c r="G29" s="2"/>
      <c r="H29" s="2"/>
      <c r="I29" s="2"/>
      <c r="J29" s="2"/>
      <c r="K29" s="2"/>
      <c r="L29" s="2"/>
      <c r="M29" s="2"/>
      <c r="N29" s="2"/>
      <c r="P29" s="2">
        <f t="shared" si="0"/>
        <v>0</v>
      </c>
      <c r="Q29" s="2"/>
      <c r="R29" s="2"/>
      <c r="S29" s="2"/>
      <c r="T29" s="2"/>
      <c r="U29" s="89"/>
    </row>
    <row r="30" spans="1:21" ht="12.75">
      <c r="A30" t="s">
        <v>201</v>
      </c>
      <c r="B30" s="4">
        <v>53.1702</v>
      </c>
      <c r="C30" s="2">
        <v>135</v>
      </c>
      <c r="D30" s="2">
        <v>76</v>
      </c>
      <c r="E30" s="2">
        <v>3</v>
      </c>
      <c r="F30" s="2"/>
      <c r="G30" s="2">
        <v>26</v>
      </c>
      <c r="H30" s="2">
        <v>153</v>
      </c>
      <c r="I30" s="2">
        <v>89</v>
      </c>
      <c r="J30" s="2">
        <v>78</v>
      </c>
      <c r="K30" s="2">
        <v>103</v>
      </c>
      <c r="L30" s="2">
        <v>82</v>
      </c>
      <c r="M30" s="2">
        <v>122</v>
      </c>
      <c r="N30" s="2">
        <v>105</v>
      </c>
      <c r="O30" s="2">
        <v>157</v>
      </c>
      <c r="P30" s="2">
        <f t="shared" si="0"/>
        <v>209.33333333333331</v>
      </c>
      <c r="Q30" s="2">
        <v>200</v>
      </c>
      <c r="R30" s="2">
        <v>367</v>
      </c>
      <c r="S30" s="2">
        <v>200</v>
      </c>
      <c r="T30" s="2">
        <v>200</v>
      </c>
      <c r="U30" s="89">
        <f>(T30-Q30)/Q30</f>
        <v>0</v>
      </c>
    </row>
    <row r="31" spans="1:21" ht="12.75">
      <c r="A31" t="s">
        <v>151</v>
      </c>
      <c r="B31" s="4">
        <v>53.171</v>
      </c>
      <c r="C31" s="2">
        <v>1384</v>
      </c>
      <c r="D31" s="2">
        <v>1110</v>
      </c>
      <c r="E31" s="2">
        <v>1426</v>
      </c>
      <c r="F31" s="2">
        <v>1292</v>
      </c>
      <c r="G31" s="2">
        <v>1336</v>
      </c>
      <c r="H31" s="2">
        <v>864</v>
      </c>
      <c r="I31" s="2">
        <v>887</v>
      </c>
      <c r="J31" s="2">
        <v>1170</v>
      </c>
      <c r="K31" s="2">
        <v>1560</v>
      </c>
      <c r="L31" s="2">
        <v>1471</v>
      </c>
      <c r="M31" s="2">
        <v>896</v>
      </c>
      <c r="N31" s="2">
        <v>501</v>
      </c>
      <c r="O31" s="2">
        <v>568</v>
      </c>
      <c r="P31" s="2">
        <f t="shared" si="0"/>
        <v>757.3333333333334</v>
      </c>
      <c r="Q31" s="2">
        <v>610</v>
      </c>
      <c r="R31" s="2">
        <v>610</v>
      </c>
      <c r="S31" s="2">
        <v>600</v>
      </c>
      <c r="T31" s="2">
        <v>600</v>
      </c>
      <c r="U31" s="89">
        <f>(T31-Q31)/Q31</f>
        <v>-0.01639344262295082</v>
      </c>
    </row>
    <row r="32" spans="1:21" ht="12.75">
      <c r="A32" t="s">
        <v>258</v>
      </c>
      <c r="B32" s="4">
        <v>53.172</v>
      </c>
      <c r="C32" s="2">
        <v>2504</v>
      </c>
      <c r="D32" s="2">
        <v>2703</v>
      </c>
      <c r="E32" s="2">
        <v>671</v>
      </c>
      <c r="F32" s="2">
        <v>969</v>
      </c>
      <c r="G32" s="2">
        <v>647</v>
      </c>
      <c r="H32" s="2">
        <v>384</v>
      </c>
      <c r="I32" s="2">
        <v>419</v>
      </c>
      <c r="J32" s="2">
        <v>538</v>
      </c>
      <c r="K32" s="2">
        <v>543</v>
      </c>
      <c r="L32" s="2">
        <f>208+199</f>
        <v>407</v>
      </c>
      <c r="M32" s="2">
        <v>143</v>
      </c>
      <c r="N32" s="2">
        <v>237</v>
      </c>
      <c r="O32" s="2">
        <v>201</v>
      </c>
      <c r="P32" s="2">
        <f t="shared" si="0"/>
        <v>268</v>
      </c>
      <c r="Q32" s="2">
        <v>242</v>
      </c>
      <c r="R32" s="2">
        <v>462</v>
      </c>
      <c r="S32" s="2">
        <v>300</v>
      </c>
      <c r="T32" s="2">
        <v>300</v>
      </c>
      <c r="U32" s="89">
        <f>(T32-Q32)/Q32</f>
        <v>0.2396694214876033</v>
      </c>
    </row>
    <row r="33" spans="1:21" ht="12.75">
      <c r="A33" t="s">
        <v>189</v>
      </c>
      <c r="B33" s="4">
        <v>53.175</v>
      </c>
      <c r="C33" s="2">
        <v>6</v>
      </c>
      <c r="D33" s="2">
        <v>38</v>
      </c>
      <c r="E33" s="2">
        <v>51</v>
      </c>
      <c r="F33" s="2">
        <v>15</v>
      </c>
      <c r="G33" s="2">
        <v>576</v>
      </c>
      <c r="H33" s="2">
        <v>93</v>
      </c>
      <c r="I33" s="2">
        <v>73</v>
      </c>
      <c r="J33" s="2">
        <v>23</v>
      </c>
      <c r="K33" s="2">
        <v>1083</v>
      </c>
      <c r="L33" s="2">
        <v>414</v>
      </c>
      <c r="M33" s="2">
        <v>369</v>
      </c>
      <c r="N33" s="2">
        <v>1142</v>
      </c>
      <c r="O33" s="2">
        <v>708</v>
      </c>
      <c r="P33" s="2">
        <f t="shared" si="0"/>
        <v>944</v>
      </c>
      <c r="Q33" s="2">
        <v>400</v>
      </c>
      <c r="R33" s="2">
        <v>500</v>
      </c>
      <c r="S33" s="2">
        <v>400</v>
      </c>
      <c r="T33" s="2">
        <v>400</v>
      </c>
      <c r="U33" s="89">
        <f>(T33-Q33)/Q33</f>
        <v>0</v>
      </c>
    </row>
    <row r="34" spans="1:21" ht="12.75">
      <c r="A34" t="s">
        <v>178</v>
      </c>
      <c r="B34" s="4">
        <v>53.176</v>
      </c>
      <c r="C34" s="2">
        <v>12</v>
      </c>
      <c r="D34" s="2">
        <v>14</v>
      </c>
      <c r="E34" s="2">
        <v>31</v>
      </c>
      <c r="F34" s="2">
        <v>21</v>
      </c>
      <c r="G34" s="2">
        <v>44</v>
      </c>
      <c r="H34" s="2">
        <v>22</v>
      </c>
      <c r="I34" s="2">
        <v>32</v>
      </c>
      <c r="J34" s="2">
        <v>24</v>
      </c>
      <c r="K34" s="2">
        <v>53</v>
      </c>
      <c r="L34" s="2">
        <v>53</v>
      </c>
      <c r="M34" s="2">
        <v>125</v>
      </c>
      <c r="N34" s="2">
        <v>44</v>
      </c>
      <c r="O34" s="2">
        <v>161</v>
      </c>
      <c r="P34" s="2">
        <f t="shared" si="0"/>
        <v>214.66666666666669</v>
      </c>
      <c r="Q34" s="2">
        <v>75</v>
      </c>
      <c r="R34" s="2">
        <v>75</v>
      </c>
      <c r="S34" s="2">
        <v>75</v>
      </c>
      <c r="T34" s="2">
        <v>75</v>
      </c>
      <c r="U34" s="89">
        <f>(T34-Q34)/Q34</f>
        <v>0</v>
      </c>
    </row>
    <row r="35" spans="1:21" ht="12.75">
      <c r="A35" t="s">
        <v>901</v>
      </c>
      <c r="B35" s="4">
        <v>53.1737</v>
      </c>
      <c r="C35" s="2"/>
      <c r="D35" s="2"/>
      <c r="E35" s="2"/>
      <c r="F35" s="2"/>
      <c r="G35" s="2">
        <v>344</v>
      </c>
      <c r="H35" s="2"/>
      <c r="I35" s="2">
        <v>162</v>
      </c>
      <c r="J35" s="2"/>
      <c r="K35" s="2">
        <v>722</v>
      </c>
      <c r="L35" s="2">
        <v>418</v>
      </c>
      <c r="M35" s="2"/>
      <c r="N35" s="2">
        <v>107</v>
      </c>
      <c r="O35" s="2"/>
      <c r="P35" s="2">
        <f t="shared" si="0"/>
        <v>0</v>
      </c>
      <c r="Q35" s="2"/>
      <c r="R35" s="2"/>
      <c r="S35" s="2"/>
      <c r="T35" s="2"/>
      <c r="U35" s="89"/>
    </row>
    <row r="36" spans="1:21" ht="12.75">
      <c r="A36" t="s">
        <v>179</v>
      </c>
      <c r="B36" s="4">
        <v>53.177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335</v>
      </c>
      <c r="N36" s="2">
        <v>278</v>
      </c>
      <c r="O36" s="2"/>
      <c r="P36" s="2">
        <f t="shared" si="0"/>
        <v>0</v>
      </c>
      <c r="Q36" s="2">
        <v>400</v>
      </c>
      <c r="R36" s="2">
        <v>400</v>
      </c>
      <c r="S36" s="2"/>
      <c r="T36" s="2"/>
      <c r="U36" s="89"/>
    </row>
    <row r="37" spans="1:21" ht="12.75">
      <c r="A37" t="s">
        <v>180</v>
      </c>
      <c r="B37" s="4">
        <v>53.179</v>
      </c>
      <c r="C37" s="2">
        <v>324</v>
      </c>
      <c r="D37" s="2">
        <v>655</v>
      </c>
      <c r="E37" s="2">
        <v>813</v>
      </c>
      <c r="F37" s="2">
        <v>507</v>
      </c>
      <c r="G37" s="2">
        <v>672</v>
      </c>
      <c r="H37" s="2">
        <v>617</v>
      </c>
      <c r="I37" s="2">
        <v>1004</v>
      </c>
      <c r="J37" s="2">
        <v>1233</v>
      </c>
      <c r="K37" s="2">
        <v>1808</v>
      </c>
      <c r="L37" s="2">
        <v>1903</v>
      </c>
      <c r="M37" s="2">
        <v>1175</v>
      </c>
      <c r="N37" s="2">
        <v>1528</v>
      </c>
      <c r="O37" s="2">
        <v>1162</v>
      </c>
      <c r="P37" s="2">
        <f t="shared" si="0"/>
        <v>1549.3333333333335</v>
      </c>
      <c r="Q37" s="2">
        <v>1500</v>
      </c>
      <c r="R37" s="2">
        <v>1500</v>
      </c>
      <c r="S37" s="2">
        <v>1500</v>
      </c>
      <c r="T37" s="2">
        <v>1500</v>
      </c>
      <c r="U37" s="89">
        <f>(T37-Q37)/Q37</f>
        <v>0</v>
      </c>
    </row>
    <row r="38" spans="1:21" ht="12.75" hidden="1">
      <c r="A38" t="s">
        <v>176</v>
      </c>
      <c r="B38" s="4">
        <v>52.2206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9"/>
    </row>
    <row r="39" spans="1:21" ht="12.75">
      <c r="A39" t="s">
        <v>192</v>
      </c>
      <c r="B39" s="4">
        <v>53.178</v>
      </c>
      <c r="C39" s="2"/>
      <c r="D39" s="2"/>
      <c r="E39" s="2"/>
      <c r="F39" s="2"/>
      <c r="G39" s="2"/>
      <c r="H39" s="2"/>
      <c r="I39" s="2"/>
      <c r="J39" s="2"/>
      <c r="K39" s="2">
        <v>180</v>
      </c>
      <c r="L39" s="2"/>
      <c r="M39" s="2"/>
      <c r="N39" s="2">
        <v>196</v>
      </c>
      <c r="O39" s="2"/>
      <c r="P39" s="2"/>
      <c r="Q39" s="2"/>
      <c r="R39" s="2"/>
      <c r="S39" s="2"/>
      <c r="T39" s="2"/>
      <c r="U39" s="89"/>
    </row>
    <row r="40" spans="1:22" ht="12.75" hidden="1">
      <c r="A40" t="s">
        <v>362</v>
      </c>
      <c r="B40" s="4"/>
      <c r="C40" s="2"/>
      <c r="D40" s="2"/>
      <c r="E40" s="2"/>
      <c r="F40" s="2"/>
      <c r="G40" s="2"/>
      <c r="H40" s="2">
        <v>800</v>
      </c>
      <c r="I40" s="2">
        <v>900</v>
      </c>
      <c r="J40" s="2">
        <v>425</v>
      </c>
      <c r="K40" s="2">
        <v>700</v>
      </c>
      <c r="L40" s="2"/>
      <c r="M40" s="2"/>
      <c r="N40" s="2"/>
      <c r="O40" s="2"/>
      <c r="P40" s="2"/>
      <c r="Q40" s="2">
        <v>535</v>
      </c>
      <c r="R40" s="2"/>
      <c r="S40" s="2"/>
      <c r="T40" s="2"/>
      <c r="U40" s="89"/>
      <c r="V40" s="10"/>
    </row>
    <row r="41" spans="1:21" ht="12.75" hidden="1">
      <c r="A41" t="s">
        <v>508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89"/>
    </row>
    <row r="42" spans="1:22" ht="12.75">
      <c r="A42" t="s">
        <v>380</v>
      </c>
      <c r="B42" s="4">
        <v>54.24</v>
      </c>
      <c r="C42" s="2"/>
      <c r="D42" s="2"/>
      <c r="E42" s="2"/>
      <c r="F42" s="2"/>
      <c r="G42" s="2"/>
      <c r="H42" s="2"/>
      <c r="I42" s="2"/>
      <c r="J42" s="2">
        <v>6495</v>
      </c>
      <c r="K42" s="2">
        <v>1364</v>
      </c>
      <c r="L42" s="2">
        <v>1186</v>
      </c>
      <c r="M42" s="2">
        <v>400</v>
      </c>
      <c r="N42" s="2"/>
      <c r="O42" s="2"/>
      <c r="P42" s="2"/>
      <c r="Q42" s="2">
        <v>535</v>
      </c>
      <c r="R42" s="2">
        <v>535</v>
      </c>
      <c r="S42" s="2">
        <v>535</v>
      </c>
      <c r="T42" s="2">
        <v>535</v>
      </c>
      <c r="U42" s="89"/>
      <c r="V42" t="s">
        <v>579</v>
      </c>
    </row>
    <row r="43" spans="1:21" ht="12.75" hidden="1">
      <c r="A43" t="s">
        <v>509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89"/>
    </row>
    <row r="44" spans="1:21" ht="12.75" hidden="1">
      <c r="A44" t="s">
        <v>179</v>
      </c>
      <c r="B44" s="4" t="s">
        <v>120</v>
      </c>
      <c r="C44" s="2">
        <v>69</v>
      </c>
      <c r="D44" s="2">
        <v>268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0"/>
        <v>0</v>
      </c>
      <c r="Q44" s="2"/>
      <c r="R44" s="2"/>
      <c r="S44" s="2"/>
      <c r="T44" s="2"/>
      <c r="U44" s="89"/>
    </row>
    <row r="45" spans="1:21" ht="12.75" hidden="1">
      <c r="A45" t="s">
        <v>328</v>
      </c>
      <c r="B45" s="4" t="s">
        <v>120</v>
      </c>
      <c r="C45" s="2"/>
      <c r="D45" s="2">
        <v>300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0"/>
        <v>0</v>
      </c>
      <c r="Q45" s="2"/>
      <c r="R45" s="2"/>
      <c r="S45" s="2"/>
      <c r="T45" s="2"/>
      <c r="U45" s="89"/>
    </row>
    <row r="46" spans="1:21" ht="12.75" hidden="1">
      <c r="A46" t="s">
        <v>777</v>
      </c>
      <c r="B46" s="4"/>
      <c r="C46" s="5"/>
      <c r="D46" s="5"/>
      <c r="E46" s="5"/>
      <c r="F46" s="5"/>
      <c r="G46" s="5"/>
      <c r="H46" s="5"/>
      <c r="I46" s="5"/>
      <c r="J46" s="5"/>
      <c r="K46" s="5">
        <v>3018</v>
      </c>
      <c r="L46" s="5"/>
      <c r="M46" s="5"/>
      <c r="N46" s="5"/>
      <c r="O46" s="2"/>
      <c r="P46" s="2"/>
      <c r="Q46" s="5"/>
      <c r="R46" s="5"/>
      <c r="S46" s="5"/>
      <c r="T46" s="5"/>
      <c r="U46" s="51"/>
    </row>
    <row r="47" spans="1:21" ht="12.75">
      <c r="A47" s="6" t="s">
        <v>119</v>
      </c>
      <c r="B47" s="6"/>
      <c r="C47" s="7">
        <f aca="true" t="shared" si="1" ref="C47:I47">SUM(C7:C46)</f>
        <v>64232</v>
      </c>
      <c r="D47" s="8">
        <f t="shared" si="1"/>
        <v>64032</v>
      </c>
      <c r="E47" s="8">
        <f t="shared" si="1"/>
        <v>68384</v>
      </c>
      <c r="F47" s="8">
        <f t="shared" si="1"/>
        <v>68967</v>
      </c>
      <c r="G47" s="8">
        <f t="shared" si="1"/>
        <v>74920</v>
      </c>
      <c r="H47" s="8">
        <f t="shared" si="1"/>
        <v>76431</v>
      </c>
      <c r="I47" s="8">
        <f t="shared" si="1"/>
        <v>71945</v>
      </c>
      <c r="J47" s="8">
        <v>81267</v>
      </c>
      <c r="K47" s="8">
        <f aca="true" t="shared" si="2" ref="K47:R47">SUM(K7:K46)</f>
        <v>81298</v>
      </c>
      <c r="L47" s="8">
        <v>76933</v>
      </c>
      <c r="M47" s="8">
        <v>70109</v>
      </c>
      <c r="N47" s="8">
        <v>70439</v>
      </c>
      <c r="O47" s="8">
        <f t="shared" si="2"/>
        <v>53852</v>
      </c>
      <c r="P47" s="8">
        <f t="shared" si="2"/>
        <v>71697.99999999997</v>
      </c>
      <c r="Q47" s="8">
        <f>SUM(Q7:Q46)</f>
        <v>71727.8175</v>
      </c>
      <c r="R47" s="8">
        <f t="shared" si="2"/>
        <v>79478.5675</v>
      </c>
      <c r="S47" s="8">
        <f>SUM(S7:S46)</f>
        <v>72426.87950000001</v>
      </c>
      <c r="T47" s="8">
        <f>SUM(T7:T46)</f>
        <v>72426.87950000001</v>
      </c>
      <c r="U47" s="51">
        <f>(T47-Q47)/Q47</f>
        <v>0.009746037511876133</v>
      </c>
    </row>
    <row r="48" ht="12.75">
      <c r="U48" s="51"/>
    </row>
    <row r="49" spans="17:21" ht="12.75">
      <c r="Q49" s="22" t="s">
        <v>484</v>
      </c>
      <c r="R49" s="22"/>
      <c r="S49" s="55">
        <f>R47-S47</f>
        <v>7051.687999999995</v>
      </c>
      <c r="U49" s="51"/>
    </row>
    <row r="50" spans="17:21" ht="12.75">
      <c r="Q50" s="22" t="s">
        <v>725</v>
      </c>
      <c r="R50" s="22"/>
      <c r="S50" s="55">
        <f>Q47-S47</f>
        <v>-699.0620000000054</v>
      </c>
      <c r="U50" s="51"/>
    </row>
    <row r="51" spans="1:21" ht="12.75">
      <c r="A51" s="22" t="s">
        <v>5</v>
      </c>
      <c r="Q51" s="22" t="s">
        <v>432</v>
      </c>
      <c r="R51" s="22"/>
      <c r="S51" s="55">
        <f>S47-T47</f>
        <v>0</v>
      </c>
      <c r="U51" s="51"/>
    </row>
    <row r="52" spans="1:21" ht="12.75">
      <c r="A52" t="s">
        <v>1054</v>
      </c>
      <c r="Q52" s="22"/>
      <c r="R52" s="22"/>
      <c r="S52" s="55"/>
      <c r="U52" s="51"/>
    </row>
    <row r="53" spans="1:21" ht="12.75">
      <c r="A53" t="s">
        <v>32</v>
      </c>
      <c r="U53" s="51"/>
    </row>
    <row r="54" spans="1:21" ht="12.75">
      <c r="A54" s="33" t="s">
        <v>33</v>
      </c>
      <c r="P54" s="2"/>
      <c r="U54" s="51"/>
    </row>
    <row r="55" spans="1:21" ht="12.75">
      <c r="A55" s="33" t="s">
        <v>34</v>
      </c>
      <c r="P55" s="2"/>
      <c r="Q55" s="5"/>
      <c r="U55" s="51"/>
    </row>
    <row r="56" spans="16:21" ht="12.75">
      <c r="P56" s="2"/>
      <c r="Q56" s="5"/>
      <c r="U56" s="51"/>
    </row>
    <row r="57" spans="16:21" ht="12.75">
      <c r="P57" s="2"/>
      <c r="Q57" s="5"/>
      <c r="U57" s="51"/>
    </row>
    <row r="58" spans="16:21" ht="12.75">
      <c r="P58" s="2"/>
      <c r="U58" s="51"/>
    </row>
    <row r="59" spans="16:21" ht="12.75">
      <c r="P59" s="2"/>
      <c r="U59" s="51"/>
    </row>
    <row r="60" spans="16:21" ht="12.75">
      <c r="P60" s="2"/>
      <c r="U60" s="51"/>
    </row>
    <row r="61" ht="12.75">
      <c r="P61" s="2"/>
    </row>
    <row r="62" ht="12.75">
      <c r="P62" s="2"/>
    </row>
    <row r="63" spans="16:17" ht="12.75">
      <c r="P63" s="2"/>
      <c r="Q63" s="5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spans="16:17" ht="12.75">
      <c r="P68" s="2"/>
      <c r="Q68" s="5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U73" s="2"/>
    </row>
    <row r="74" ht="12.75">
      <c r="U74" s="2"/>
    </row>
    <row r="75" spans="17:21" ht="12.75">
      <c r="Q75" s="5"/>
      <c r="U75" s="2"/>
    </row>
    <row r="76" spans="17:21" ht="12.75">
      <c r="Q76" s="5"/>
      <c r="U76" s="2"/>
    </row>
    <row r="77" ht="12.75">
      <c r="U77" s="2"/>
    </row>
    <row r="78" ht="12.75">
      <c r="U78" s="2"/>
    </row>
    <row r="87" spans="12:16" ht="12.75">
      <c r="L87" s="2"/>
      <c r="M87" s="2"/>
      <c r="N87" s="2"/>
      <c r="O87" s="2"/>
      <c r="P87" s="2"/>
    </row>
    <row r="88" spans="12:16" ht="12.75">
      <c r="L88" s="2"/>
      <c r="M88" s="2"/>
      <c r="N88" s="2"/>
      <c r="O88" s="2"/>
      <c r="P88" s="2"/>
    </row>
    <row r="89" spans="12:16" ht="12.75">
      <c r="L89" s="2"/>
      <c r="M89" s="2"/>
      <c r="N89" s="2"/>
      <c r="O89" s="2"/>
      <c r="P89" s="2"/>
    </row>
    <row r="90" spans="12:16" ht="12.75">
      <c r="L90" s="2"/>
      <c r="M90" s="2"/>
      <c r="N90" s="2"/>
      <c r="O90" s="2"/>
      <c r="P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Q96" s="2"/>
      <c r="R96" s="2"/>
      <c r="S96" s="2"/>
      <c r="T9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W92"/>
  <sheetViews>
    <sheetView zoomScale="75" zoomScaleNormal="75" workbookViewId="0" topLeftCell="A1">
      <selection activeCell="V10" sqref="V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hidden="1" customWidth="1"/>
    <col min="9" max="9" width="8.00390625" style="0" hidden="1" customWidth="1"/>
    <col min="10" max="11" width="8.7109375" style="0" hidden="1" customWidth="1"/>
    <col min="12" max="14" width="8.7109375" style="0" customWidth="1"/>
    <col min="15" max="15" width="8.7109375" style="0" bestFit="1" customWidth="1"/>
    <col min="16" max="16" width="9.00390625" style="0" customWidth="1"/>
    <col min="17" max="17" width="10.7109375" style="0" customWidth="1"/>
    <col min="18" max="18" width="10.140625" style="0" customWidth="1"/>
    <col min="19" max="19" width="11.00390625" style="0" bestFit="1" customWidth="1"/>
    <col min="20" max="20" width="8.710937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60"/>
      <c r="M2" s="160"/>
      <c r="N2" s="160"/>
      <c r="O2" s="160"/>
    </row>
    <row r="3" spans="1:21" ht="12.75">
      <c r="A3" s="6" t="s">
        <v>481</v>
      </c>
      <c r="O3" s="56">
        <v>9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t="s">
        <v>650</v>
      </c>
      <c r="B7" s="4">
        <v>51.11</v>
      </c>
      <c r="C7" s="1"/>
      <c r="D7" s="99"/>
      <c r="E7" s="99"/>
      <c r="F7" s="99"/>
      <c r="G7" s="99"/>
      <c r="H7" s="99"/>
      <c r="I7" s="99"/>
      <c r="J7" s="101">
        <v>12923</v>
      </c>
      <c r="K7" s="101">
        <v>82737</v>
      </c>
      <c r="L7" s="130">
        <v>74412.73</v>
      </c>
      <c r="M7" s="130">
        <v>8009</v>
      </c>
      <c r="N7" s="130">
        <v>77904</v>
      </c>
      <c r="O7" s="101">
        <v>65187</v>
      </c>
      <c r="P7" s="2">
        <v>79199</v>
      </c>
      <c r="Q7" s="130">
        <v>79199</v>
      </c>
      <c r="R7" s="130">
        <v>81384</v>
      </c>
      <c r="S7" s="130">
        <v>81384</v>
      </c>
      <c r="T7" s="130">
        <v>81384</v>
      </c>
      <c r="U7" s="89">
        <f>(T7-Q7)/Q7</f>
        <v>0.027588732180961882</v>
      </c>
      <c r="V7" t="s">
        <v>14</v>
      </c>
    </row>
    <row r="8" spans="1:22" ht="12.75">
      <c r="A8" t="s">
        <v>745</v>
      </c>
      <c r="B8" s="4">
        <v>51.1103</v>
      </c>
      <c r="C8" s="1"/>
      <c r="D8" s="99"/>
      <c r="E8" s="99"/>
      <c r="F8" s="99"/>
      <c r="G8" s="99"/>
      <c r="H8" s="99"/>
      <c r="I8" s="99"/>
      <c r="J8" s="101"/>
      <c r="K8" s="101"/>
      <c r="L8" s="130">
        <v>13500</v>
      </c>
      <c r="M8" s="130"/>
      <c r="N8" s="130">
        <v>18000</v>
      </c>
      <c r="O8" s="101">
        <v>9900</v>
      </c>
      <c r="P8" s="2">
        <v>40000</v>
      </c>
      <c r="Q8" s="130">
        <v>40000</v>
      </c>
      <c r="R8" s="130">
        <v>40000</v>
      </c>
      <c r="S8" s="130">
        <v>40000</v>
      </c>
      <c r="T8" s="130">
        <v>40000</v>
      </c>
      <c r="U8" s="89">
        <f>(T8-Q8)/Q8</f>
        <v>0</v>
      </c>
      <c r="V8" t="s">
        <v>511</v>
      </c>
    </row>
    <row r="9" spans="1:22" ht="12.75">
      <c r="A9" t="s">
        <v>161</v>
      </c>
      <c r="B9" s="4">
        <v>51.21</v>
      </c>
      <c r="C9" s="1"/>
      <c r="D9" s="99"/>
      <c r="E9" s="99"/>
      <c r="F9" s="99"/>
      <c r="G9" s="99"/>
      <c r="H9" s="99"/>
      <c r="I9" s="99"/>
      <c r="J9" s="101"/>
      <c r="K9" s="101">
        <v>1377</v>
      </c>
      <c r="L9" s="130">
        <v>3971</v>
      </c>
      <c r="M9" s="130">
        <v>4555</v>
      </c>
      <c r="N9" s="130">
        <v>4928</v>
      </c>
      <c r="O9" s="101">
        <v>4015</v>
      </c>
      <c r="P9" s="2">
        <f>+O9/$O$3*12</f>
        <v>5353.333333333333</v>
      </c>
      <c r="Q9" s="24">
        <v>4960</v>
      </c>
      <c r="R9" s="130">
        <v>5351</v>
      </c>
      <c r="S9" s="24">
        <v>5351</v>
      </c>
      <c r="T9" s="24">
        <v>5351</v>
      </c>
      <c r="U9" s="89">
        <f aca="true" t="shared" si="0" ref="U9:U38">(T9-Q9)/Q9</f>
        <v>0.07883064516129032</v>
      </c>
      <c r="V9" t="s">
        <v>510</v>
      </c>
    </row>
    <row r="10" spans="1:22" s="22" customFormat="1" ht="12.75">
      <c r="A10" s="22" t="s">
        <v>351</v>
      </c>
      <c r="B10" s="48">
        <v>51.211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"/>
      <c r="P10" s="31"/>
      <c r="Q10" s="31"/>
      <c r="R10" s="31">
        <v>1200</v>
      </c>
      <c r="S10" s="31">
        <v>1200</v>
      </c>
      <c r="T10" s="31">
        <v>1200</v>
      </c>
      <c r="U10" s="51"/>
      <c r="V10" s="22" t="s">
        <v>1005</v>
      </c>
    </row>
    <row r="11" spans="1:22" ht="12.75">
      <c r="A11" t="s">
        <v>141</v>
      </c>
      <c r="B11" s="4">
        <v>51.22</v>
      </c>
      <c r="C11" s="1"/>
      <c r="D11" s="99"/>
      <c r="E11" s="99"/>
      <c r="F11" s="99"/>
      <c r="G11" s="99"/>
      <c r="H11" s="99"/>
      <c r="I11" s="99"/>
      <c r="J11" s="101">
        <v>989</v>
      </c>
      <c r="K11" s="101">
        <v>6142</v>
      </c>
      <c r="L11" s="130">
        <v>6123.72</v>
      </c>
      <c r="M11" s="130">
        <v>891</v>
      </c>
      <c r="N11" s="130">
        <v>6640</v>
      </c>
      <c r="O11" s="101">
        <v>5113</v>
      </c>
      <c r="P11" s="2">
        <f>+O11/$O$3*12</f>
        <v>6817.333333333333</v>
      </c>
      <c r="Q11" s="130">
        <f>(Q7+Q8)*0.0765</f>
        <v>9118.7235</v>
      </c>
      <c r="R11" s="130">
        <f>(R7+R8)*0.0765</f>
        <v>9285.876</v>
      </c>
      <c r="S11" s="130">
        <f>(S7+S8)*0.0765</f>
        <v>9285.876</v>
      </c>
      <c r="T11" s="130">
        <v>9285.876</v>
      </c>
      <c r="U11" s="89">
        <f t="shared" si="0"/>
        <v>0.01833069069371389</v>
      </c>
      <c r="V11" t="s">
        <v>511</v>
      </c>
    </row>
    <row r="12" spans="1:21" ht="12.75">
      <c r="A12" t="s">
        <v>1018</v>
      </c>
      <c r="B12" s="4">
        <v>51.27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595</v>
      </c>
      <c r="P12" s="2">
        <v>595</v>
      </c>
      <c r="Q12" s="2">
        <v>595</v>
      </c>
      <c r="R12" s="2">
        <v>650</v>
      </c>
      <c r="S12" s="2">
        <v>650</v>
      </c>
      <c r="T12" s="2">
        <v>650</v>
      </c>
      <c r="U12" s="89"/>
    </row>
    <row r="13" spans="3:21" ht="12.75">
      <c r="C13" s="1"/>
      <c r="D13" s="99"/>
      <c r="E13" s="99"/>
      <c r="F13" s="99"/>
      <c r="G13" s="99"/>
      <c r="H13" s="99"/>
      <c r="I13" s="99"/>
      <c r="J13" s="101"/>
      <c r="K13" s="101"/>
      <c r="L13" s="130"/>
      <c r="M13" s="130"/>
      <c r="N13" s="130"/>
      <c r="O13" s="101"/>
      <c r="P13" s="2"/>
      <c r="Q13" s="130"/>
      <c r="R13" s="130"/>
      <c r="S13" s="130"/>
      <c r="T13" s="130"/>
      <c r="U13" s="89"/>
    </row>
    <row r="14" spans="1:23" ht="12.75">
      <c r="A14" t="s">
        <v>159</v>
      </c>
      <c r="B14" s="4">
        <v>52.12</v>
      </c>
      <c r="C14" s="1"/>
      <c r="D14" s="99"/>
      <c r="E14" s="99"/>
      <c r="F14" s="99"/>
      <c r="G14" s="99"/>
      <c r="H14" s="99"/>
      <c r="I14" s="99"/>
      <c r="J14" s="101"/>
      <c r="K14" s="101">
        <f>460+660</f>
        <v>1120</v>
      </c>
      <c r="L14" s="130">
        <v>5853</v>
      </c>
      <c r="M14" s="130">
        <v>16896</v>
      </c>
      <c r="N14" s="130">
        <v>21527</v>
      </c>
      <c r="O14" s="101">
        <v>6588</v>
      </c>
      <c r="P14" s="2">
        <v>19000</v>
      </c>
      <c r="Q14" s="130">
        <v>19000</v>
      </c>
      <c r="R14" s="130">
        <v>20000</v>
      </c>
      <c r="S14" s="130">
        <v>15000</v>
      </c>
      <c r="T14" s="130">
        <v>15000</v>
      </c>
      <c r="U14" s="89">
        <f t="shared" si="0"/>
        <v>-0.21052631578947367</v>
      </c>
      <c r="W14" s="5"/>
    </row>
    <row r="15" spans="1:23" ht="12.75">
      <c r="A15" t="s">
        <v>883</v>
      </c>
      <c r="B15" s="4">
        <v>52.1202</v>
      </c>
      <c r="C15" s="2"/>
      <c r="D15" s="2"/>
      <c r="E15" s="2"/>
      <c r="F15" s="2"/>
      <c r="G15" s="2"/>
      <c r="H15" s="2"/>
      <c r="I15" s="2"/>
      <c r="J15" s="18"/>
      <c r="K15" s="18"/>
      <c r="L15" s="153"/>
      <c r="M15" s="153">
        <v>9000</v>
      </c>
      <c r="N15" s="153">
        <v>12000</v>
      </c>
      <c r="O15" s="18">
        <v>12000</v>
      </c>
      <c r="P15" s="2">
        <v>12000</v>
      </c>
      <c r="Q15" s="18">
        <v>12000</v>
      </c>
      <c r="R15" s="18">
        <v>12000</v>
      </c>
      <c r="S15" s="18">
        <v>12000</v>
      </c>
      <c r="T15" s="18">
        <v>12000</v>
      </c>
      <c r="U15" s="89">
        <f t="shared" si="0"/>
        <v>0</v>
      </c>
      <c r="W15" s="5"/>
    </row>
    <row r="16" spans="1:23" ht="12.75">
      <c r="A16" t="s">
        <v>48</v>
      </c>
      <c r="B16" s="4">
        <v>52.1223</v>
      </c>
      <c r="C16" s="1"/>
      <c r="D16" s="99"/>
      <c r="E16" s="99"/>
      <c r="F16" s="99"/>
      <c r="G16" s="99"/>
      <c r="H16" s="99"/>
      <c r="I16" s="99"/>
      <c r="J16" s="101"/>
      <c r="K16" s="101"/>
      <c r="L16" s="130"/>
      <c r="M16" s="130"/>
      <c r="N16" s="130">
        <v>5517</v>
      </c>
      <c r="O16" s="198">
        <v>8250</v>
      </c>
      <c r="P16" s="2">
        <v>16550</v>
      </c>
      <c r="Q16" s="130">
        <v>16550</v>
      </c>
      <c r="R16" s="130">
        <v>16550</v>
      </c>
      <c r="S16" s="130">
        <v>16550</v>
      </c>
      <c r="T16" s="130">
        <v>16550</v>
      </c>
      <c r="U16" s="89">
        <f t="shared" si="0"/>
        <v>0</v>
      </c>
      <c r="W16" s="5"/>
    </row>
    <row r="17" spans="1:23" ht="12.75">
      <c r="A17" t="s">
        <v>677</v>
      </c>
      <c r="B17" s="4">
        <v>52.124</v>
      </c>
      <c r="C17" s="1"/>
      <c r="D17" s="99"/>
      <c r="E17" s="99"/>
      <c r="F17" s="99"/>
      <c r="G17" s="99"/>
      <c r="H17" s="99"/>
      <c r="I17" s="99"/>
      <c r="J17" s="101"/>
      <c r="K17" s="101"/>
      <c r="L17" s="130"/>
      <c r="M17" s="130"/>
      <c r="N17" s="130">
        <v>6120</v>
      </c>
      <c r="O17" s="101"/>
      <c r="P17" s="2">
        <v>3200</v>
      </c>
      <c r="Q17" s="130">
        <v>3200</v>
      </c>
      <c r="R17" s="130">
        <v>3200</v>
      </c>
      <c r="S17" s="130"/>
      <c r="T17" s="130"/>
      <c r="U17" s="89">
        <f t="shared" si="0"/>
        <v>-1</v>
      </c>
      <c r="W17" s="5"/>
    </row>
    <row r="18" spans="1:23" ht="12.75">
      <c r="A18" t="s">
        <v>778</v>
      </c>
      <c r="B18" s="4">
        <v>52.1319</v>
      </c>
      <c r="C18" s="2"/>
      <c r="D18" s="2"/>
      <c r="E18" s="2"/>
      <c r="F18" s="2"/>
      <c r="G18" s="2"/>
      <c r="H18" s="2"/>
      <c r="I18" s="2"/>
      <c r="J18" s="18"/>
      <c r="K18" s="18"/>
      <c r="L18" s="153">
        <f>5308+1242</f>
        <v>6550</v>
      </c>
      <c r="M18" s="153"/>
      <c r="N18" s="153">
        <v>685</v>
      </c>
      <c r="O18" s="18">
        <v>945</v>
      </c>
      <c r="P18" s="2">
        <v>2500</v>
      </c>
      <c r="Q18" s="18">
        <v>2500</v>
      </c>
      <c r="R18" s="18">
        <v>2500</v>
      </c>
      <c r="S18" s="18">
        <v>1500</v>
      </c>
      <c r="T18" s="18">
        <v>1500</v>
      </c>
      <c r="U18" s="89">
        <f t="shared" si="0"/>
        <v>-0.4</v>
      </c>
      <c r="W18" s="5"/>
    </row>
    <row r="19" spans="1:23" ht="12.75" hidden="1">
      <c r="A19" t="s">
        <v>779</v>
      </c>
      <c r="B19" s="4">
        <v>52.22</v>
      </c>
      <c r="C19" s="2"/>
      <c r="D19" s="2"/>
      <c r="E19" s="2"/>
      <c r="F19" s="2"/>
      <c r="G19" s="2"/>
      <c r="H19" s="2"/>
      <c r="I19" s="2"/>
      <c r="J19" s="18"/>
      <c r="K19" s="18"/>
      <c r="L19" s="153"/>
      <c r="M19" s="153"/>
      <c r="N19" s="153"/>
      <c r="O19" s="18"/>
      <c r="P19" s="2"/>
      <c r="Q19" s="18"/>
      <c r="R19" s="18"/>
      <c r="S19" s="18"/>
      <c r="T19" s="18"/>
      <c r="U19" s="89" t="e">
        <f t="shared" si="0"/>
        <v>#DIV/0!</v>
      </c>
      <c r="W19" s="5"/>
    </row>
    <row r="20" spans="1:23" ht="12.75">
      <c r="A20" t="s">
        <v>780</v>
      </c>
      <c r="B20" s="4">
        <v>52.2313</v>
      </c>
      <c r="C20" s="2"/>
      <c r="D20" s="2"/>
      <c r="E20" s="2"/>
      <c r="F20" s="2"/>
      <c r="G20" s="2"/>
      <c r="H20" s="2"/>
      <c r="I20" s="2"/>
      <c r="J20" s="18"/>
      <c r="K20" s="18">
        <v>4000</v>
      </c>
      <c r="L20" s="153">
        <f>4000+400</f>
        <v>4400</v>
      </c>
      <c r="M20" s="153">
        <v>3927</v>
      </c>
      <c r="N20" s="153"/>
      <c r="O20" s="18"/>
      <c r="P20" s="2"/>
      <c r="Q20" s="18"/>
      <c r="R20" s="18"/>
      <c r="S20" s="18"/>
      <c r="T20" s="18"/>
      <c r="U20" s="89"/>
      <c r="W20" s="5"/>
    </row>
    <row r="21" spans="1:23" ht="12.75">
      <c r="A21" t="s">
        <v>143</v>
      </c>
      <c r="B21" s="4">
        <v>52.32</v>
      </c>
      <c r="C21" s="1"/>
      <c r="D21" s="99"/>
      <c r="E21" s="99"/>
      <c r="F21" s="99"/>
      <c r="G21" s="99"/>
      <c r="H21" s="99"/>
      <c r="I21" s="99"/>
      <c r="J21" s="101">
        <v>149</v>
      </c>
      <c r="K21" s="101">
        <v>781</v>
      </c>
      <c r="L21" s="130">
        <f>912+111</f>
        <v>1023</v>
      </c>
      <c r="M21" s="130">
        <v>1138</v>
      </c>
      <c r="N21" s="130">
        <v>1173</v>
      </c>
      <c r="O21" s="101">
        <v>1146</v>
      </c>
      <c r="P21" s="2">
        <f>+O21/$O$3*12</f>
        <v>1528</v>
      </c>
      <c r="Q21" s="130">
        <v>950</v>
      </c>
      <c r="R21" s="130">
        <v>1000</v>
      </c>
      <c r="S21" s="130">
        <v>1000</v>
      </c>
      <c r="T21" s="130">
        <v>1000</v>
      </c>
      <c r="U21" s="89">
        <f t="shared" si="0"/>
        <v>0.05263157894736842</v>
      </c>
      <c r="V21" s="3"/>
      <c r="W21" s="5"/>
    </row>
    <row r="22" spans="1:21" ht="12.75">
      <c r="A22" t="s">
        <v>165</v>
      </c>
      <c r="B22" s="4">
        <v>52.33</v>
      </c>
      <c r="C22" s="2"/>
      <c r="D22" s="2"/>
      <c r="E22" s="2"/>
      <c r="F22" s="2"/>
      <c r="G22" s="2"/>
      <c r="H22" s="2"/>
      <c r="I22" s="2"/>
      <c r="J22" s="18"/>
      <c r="K22" s="18">
        <v>1565</v>
      </c>
      <c r="L22" s="153"/>
      <c r="M22" s="153"/>
      <c r="N22" s="153"/>
      <c r="O22" s="176">
        <v>884</v>
      </c>
      <c r="P22" s="2">
        <f>+O22/$O$3*12</f>
        <v>1178.6666666666667</v>
      </c>
      <c r="Q22" s="18">
        <v>1200</v>
      </c>
      <c r="R22" s="18">
        <v>1000</v>
      </c>
      <c r="S22" s="18"/>
      <c r="T22" s="18"/>
      <c r="U22" s="89">
        <f t="shared" si="0"/>
        <v>-1</v>
      </c>
    </row>
    <row r="23" spans="1:23" ht="12.75">
      <c r="A23" t="s">
        <v>781</v>
      </c>
      <c r="B23" s="4">
        <v>52.3405</v>
      </c>
      <c r="C23" s="1"/>
      <c r="D23" s="99"/>
      <c r="E23" s="99"/>
      <c r="F23" s="99"/>
      <c r="G23" s="99"/>
      <c r="H23" s="99"/>
      <c r="I23" s="99"/>
      <c r="J23" s="101"/>
      <c r="K23" s="101">
        <v>300</v>
      </c>
      <c r="L23" s="130"/>
      <c r="M23" s="130"/>
      <c r="N23" s="130"/>
      <c r="O23" s="101"/>
      <c r="P23" s="2"/>
      <c r="Q23" s="130"/>
      <c r="R23" s="130"/>
      <c r="S23" s="130"/>
      <c r="T23" s="130"/>
      <c r="U23" s="89"/>
      <c r="V23" s="3"/>
      <c r="W23" s="5"/>
    </row>
    <row r="24" spans="1:23" ht="12.75">
      <c r="A24" t="s">
        <v>156</v>
      </c>
      <c r="B24" s="4">
        <v>52.35</v>
      </c>
      <c r="C24" s="1"/>
      <c r="D24" s="99"/>
      <c r="E24" s="99"/>
      <c r="F24" s="99"/>
      <c r="G24" s="99"/>
      <c r="H24" s="99"/>
      <c r="I24" s="99"/>
      <c r="J24" s="101">
        <v>1963</v>
      </c>
      <c r="K24" s="101">
        <v>4522</v>
      </c>
      <c r="L24" s="130">
        <v>1473</v>
      </c>
      <c r="M24" s="130">
        <v>4139</v>
      </c>
      <c r="N24" s="130">
        <v>3408</v>
      </c>
      <c r="O24" s="101">
        <v>3384</v>
      </c>
      <c r="P24" s="2">
        <v>4000</v>
      </c>
      <c r="Q24" s="130">
        <v>4000</v>
      </c>
      <c r="R24" s="130">
        <v>12000</v>
      </c>
      <c r="S24" s="130">
        <v>4000</v>
      </c>
      <c r="T24" s="130">
        <v>4000</v>
      </c>
      <c r="U24" s="89">
        <f t="shared" si="0"/>
        <v>0</v>
      </c>
      <c r="V24" s="3"/>
      <c r="W24" s="5"/>
    </row>
    <row r="25" spans="1:21" ht="12.75">
      <c r="A25" t="s">
        <v>782</v>
      </c>
      <c r="B25" s="4">
        <v>52.3852</v>
      </c>
      <c r="C25" s="2">
        <v>38107</v>
      </c>
      <c r="D25" s="2">
        <v>30294</v>
      </c>
      <c r="E25" s="2"/>
      <c r="F25" s="2">
        <v>35994</v>
      </c>
      <c r="G25" s="2">
        <v>33970</v>
      </c>
      <c r="H25" s="2">
        <v>38921</v>
      </c>
      <c r="I25" s="2">
        <v>45177</v>
      </c>
      <c r="J25" s="18">
        <v>37485</v>
      </c>
      <c r="K25" s="18">
        <v>17828</v>
      </c>
      <c r="L25" s="153">
        <f>13721+1008</f>
        <v>14729</v>
      </c>
      <c r="M25" s="153"/>
      <c r="N25" s="153"/>
      <c r="O25" s="18"/>
      <c r="P25" s="2">
        <f>+O25/$O$3*12</f>
        <v>0</v>
      </c>
      <c r="Q25" s="18"/>
      <c r="R25" s="18"/>
      <c r="S25" s="18"/>
      <c r="T25" s="18"/>
      <c r="U25" s="89"/>
    </row>
    <row r="26" spans="1:23" ht="12.75">
      <c r="A26" t="s">
        <v>144</v>
      </c>
      <c r="B26" s="4">
        <v>52.321</v>
      </c>
      <c r="C26" s="2"/>
      <c r="D26" s="2"/>
      <c r="E26" s="2"/>
      <c r="F26" s="2"/>
      <c r="G26" s="2"/>
      <c r="H26" s="2"/>
      <c r="I26" s="2"/>
      <c r="J26" s="18"/>
      <c r="K26" s="18"/>
      <c r="L26" s="153">
        <v>112</v>
      </c>
      <c r="M26" s="153"/>
      <c r="N26" s="153">
        <v>128</v>
      </c>
      <c r="O26" s="176">
        <v>114</v>
      </c>
      <c r="P26" s="2">
        <f>+O26/$O$3*12</f>
        <v>152</v>
      </c>
      <c r="Q26" s="18">
        <v>152</v>
      </c>
      <c r="R26" s="18">
        <v>50</v>
      </c>
      <c r="S26" s="18"/>
      <c r="T26" s="18"/>
      <c r="U26" s="89"/>
      <c r="W26" s="5"/>
    </row>
    <row r="27" spans="1:21" ht="12.75">
      <c r="A27" t="s">
        <v>759</v>
      </c>
      <c r="B27" s="4">
        <v>53.171</v>
      </c>
      <c r="C27" s="2"/>
      <c r="D27" s="2"/>
      <c r="E27" s="2"/>
      <c r="F27" s="2"/>
      <c r="G27" s="2"/>
      <c r="H27" s="2"/>
      <c r="I27" s="2"/>
      <c r="J27" s="18">
        <v>2</v>
      </c>
      <c r="K27" s="18"/>
      <c r="L27" s="153">
        <v>12</v>
      </c>
      <c r="M27" s="153"/>
      <c r="N27" s="153"/>
      <c r="O27" s="18"/>
      <c r="P27" s="2">
        <f>+O27/$O$3*12</f>
        <v>0</v>
      </c>
      <c r="Q27" s="18"/>
      <c r="R27" s="18"/>
      <c r="S27" s="18"/>
      <c r="T27" s="18"/>
      <c r="U27" s="89"/>
    </row>
    <row r="28" spans="1:21" ht="12.75">
      <c r="A28" t="s">
        <v>767</v>
      </c>
      <c r="B28" s="4">
        <v>52.3604</v>
      </c>
      <c r="C28" s="2"/>
      <c r="D28" s="2"/>
      <c r="E28" s="2"/>
      <c r="F28" s="2"/>
      <c r="G28" s="2"/>
      <c r="H28" s="2"/>
      <c r="I28" s="2"/>
      <c r="J28" s="18"/>
      <c r="K28" s="18"/>
      <c r="L28" s="153"/>
      <c r="M28" s="153"/>
      <c r="N28" s="153">
        <v>300</v>
      </c>
      <c r="O28" s="18">
        <v>900</v>
      </c>
      <c r="P28" s="2">
        <v>300</v>
      </c>
      <c r="Q28" s="18">
        <v>300</v>
      </c>
      <c r="R28" s="18">
        <v>300</v>
      </c>
      <c r="S28" s="18">
        <v>300</v>
      </c>
      <c r="T28" s="18">
        <v>300</v>
      </c>
      <c r="U28" s="89">
        <f t="shared" si="0"/>
        <v>0</v>
      </c>
    </row>
    <row r="29" spans="2:21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53"/>
      <c r="M29" s="153"/>
      <c r="N29" s="153"/>
      <c r="O29" s="18"/>
      <c r="P29" s="2"/>
      <c r="Q29" s="18"/>
      <c r="R29" s="18"/>
      <c r="S29" s="18"/>
      <c r="T29" s="18"/>
      <c r="U29" s="89"/>
    </row>
    <row r="30" spans="1:21" ht="12.75">
      <c r="A30" t="s">
        <v>362</v>
      </c>
      <c r="B30" s="4"/>
      <c r="C30" s="2"/>
      <c r="D30" s="2"/>
      <c r="E30" s="2"/>
      <c r="F30" s="2"/>
      <c r="G30" s="2"/>
      <c r="H30" s="2"/>
      <c r="I30" s="2"/>
      <c r="J30" s="18"/>
      <c r="K30" s="18"/>
      <c r="L30" s="153"/>
      <c r="M30" s="153"/>
      <c r="N30" s="153"/>
      <c r="O30" s="18"/>
      <c r="P30" s="2"/>
      <c r="Q30" s="18"/>
      <c r="R30" s="18"/>
      <c r="S30" s="18"/>
      <c r="T30" s="18"/>
      <c r="U30" s="89"/>
    </row>
    <row r="31" spans="2:21" ht="12.75">
      <c r="B31" s="4"/>
      <c r="C31" s="2"/>
      <c r="D31" s="2"/>
      <c r="E31" s="2"/>
      <c r="F31" s="2"/>
      <c r="G31" s="2"/>
      <c r="H31" s="2"/>
      <c r="I31" s="2"/>
      <c r="J31" s="18"/>
      <c r="K31" s="18"/>
      <c r="L31" s="153"/>
      <c r="M31" s="153"/>
      <c r="N31" s="153"/>
      <c r="O31" s="18"/>
      <c r="P31" s="2"/>
      <c r="Q31" s="18"/>
      <c r="R31" s="18"/>
      <c r="S31" s="18"/>
      <c r="T31" s="18"/>
      <c r="U31" s="89"/>
    </row>
    <row r="32" spans="1:21" ht="12.75" hidden="1">
      <c r="A32" t="s">
        <v>760</v>
      </c>
      <c r="B32" s="4"/>
      <c r="C32" s="2"/>
      <c r="D32" s="2"/>
      <c r="E32" s="2"/>
      <c r="F32" s="2"/>
      <c r="G32" s="2"/>
      <c r="H32" s="2"/>
      <c r="I32" s="2"/>
      <c r="J32" s="18">
        <v>15000</v>
      </c>
      <c r="K32" s="18"/>
      <c r="L32" s="153"/>
      <c r="M32" s="153"/>
      <c r="N32" s="153"/>
      <c r="O32" s="18"/>
      <c r="P32" s="2">
        <f>+O32/$O$3*12</f>
        <v>0</v>
      </c>
      <c r="Q32" s="18"/>
      <c r="R32" s="18"/>
      <c r="S32" s="18"/>
      <c r="T32" s="18"/>
      <c r="U32" s="89" t="e">
        <f t="shared" si="0"/>
        <v>#DIV/0!</v>
      </c>
    </row>
    <row r="33" spans="1:21" ht="12.75" hidden="1">
      <c r="A33" t="s">
        <v>507</v>
      </c>
      <c r="B33" s="4">
        <v>57.1091</v>
      </c>
      <c r="C33" s="2">
        <v>5000</v>
      </c>
      <c r="D33" s="2">
        <v>5000</v>
      </c>
      <c r="E33" s="2"/>
      <c r="F33" s="2"/>
      <c r="G33" s="2"/>
      <c r="H33" s="2"/>
      <c r="I33" s="2"/>
      <c r="J33" s="18"/>
      <c r="K33" s="18">
        <v>5000</v>
      </c>
      <c r="L33" s="153"/>
      <c r="M33" s="153"/>
      <c r="N33" s="153"/>
      <c r="O33" s="18"/>
      <c r="P33" s="2">
        <f>+O33/$O$3*12</f>
        <v>0</v>
      </c>
      <c r="Q33" s="18"/>
      <c r="R33" s="18"/>
      <c r="S33" s="18"/>
      <c r="T33" s="18"/>
      <c r="U33" s="89"/>
    </row>
    <row r="34" spans="1:21" ht="12.75">
      <c r="A34" t="s">
        <v>312</v>
      </c>
      <c r="B34" s="4">
        <v>57.21</v>
      </c>
      <c r="C34" s="2">
        <v>9200</v>
      </c>
      <c r="D34" s="2">
        <v>20000</v>
      </c>
      <c r="E34" s="2"/>
      <c r="F34" s="2">
        <v>22500</v>
      </c>
      <c r="G34" s="2">
        <v>25000</v>
      </c>
      <c r="H34" s="2">
        <v>25000</v>
      </c>
      <c r="I34" s="2">
        <v>18750</v>
      </c>
      <c r="J34" s="18">
        <v>25000</v>
      </c>
      <c r="K34" s="18">
        <v>25000</v>
      </c>
      <c r="L34" s="153">
        <v>25000</v>
      </c>
      <c r="M34" s="153">
        <v>21375</v>
      </c>
      <c r="N34" s="153">
        <v>12000</v>
      </c>
      <c r="O34" s="18">
        <v>13125</v>
      </c>
      <c r="P34" s="2">
        <v>12000</v>
      </c>
      <c r="Q34" s="37">
        <v>12000</v>
      </c>
      <c r="R34" s="37">
        <v>12000</v>
      </c>
      <c r="S34" s="37">
        <v>12000</v>
      </c>
      <c r="T34" s="37">
        <v>12000</v>
      </c>
      <c r="U34" s="89">
        <f t="shared" si="0"/>
        <v>0</v>
      </c>
    </row>
    <row r="35" spans="1:21" ht="12.75">
      <c r="A35" t="s">
        <v>1011</v>
      </c>
      <c r="B35" s="4"/>
      <c r="C35" s="2"/>
      <c r="D35" s="2"/>
      <c r="E35" s="2"/>
      <c r="F35" s="2"/>
      <c r="G35" s="2"/>
      <c r="H35" s="2"/>
      <c r="I35" s="2"/>
      <c r="J35" s="18"/>
      <c r="K35" s="18"/>
      <c r="L35" s="153"/>
      <c r="M35" s="153"/>
      <c r="N35" s="153">
        <v>2500</v>
      </c>
      <c r="O35" s="18"/>
      <c r="P35" s="2"/>
      <c r="Q35" s="37"/>
      <c r="R35" s="37"/>
      <c r="S35" s="37"/>
      <c r="T35" s="37"/>
      <c r="U35" s="89"/>
    </row>
    <row r="36" spans="1:22" ht="12.75">
      <c r="A36" t="s">
        <v>313</v>
      </c>
      <c r="B36" s="4">
        <v>57.211</v>
      </c>
      <c r="C36" s="2">
        <v>25000</v>
      </c>
      <c r="D36" s="2">
        <v>21250</v>
      </c>
      <c r="E36" s="2">
        <v>20000</v>
      </c>
      <c r="F36" s="2">
        <v>95000</v>
      </c>
      <c r="G36" s="2">
        <v>18000</v>
      </c>
      <c r="H36" s="2">
        <v>8000</v>
      </c>
      <c r="I36" s="2">
        <v>8000</v>
      </c>
      <c r="J36" s="18">
        <v>8000</v>
      </c>
      <c r="K36" s="18">
        <v>8000</v>
      </c>
      <c r="L36" s="153">
        <v>8000</v>
      </c>
      <c r="M36" s="153"/>
      <c r="N36" s="153"/>
      <c r="O36" s="176"/>
      <c r="P36" s="2"/>
      <c r="Q36" s="18"/>
      <c r="R36" s="18"/>
      <c r="S36" s="18"/>
      <c r="T36" s="18"/>
      <c r="U36" s="89"/>
      <c r="V36" t="s">
        <v>579</v>
      </c>
    </row>
    <row r="37" spans="1:21" ht="12.75" hidden="1">
      <c r="A37" t="s">
        <v>314</v>
      </c>
      <c r="B37" s="4">
        <v>57.2161</v>
      </c>
      <c r="C37" s="2">
        <v>6700</v>
      </c>
      <c r="D37" s="2">
        <v>6700</v>
      </c>
      <c r="E37" s="2"/>
      <c r="F37" s="2">
        <v>7000</v>
      </c>
      <c r="G37" s="2"/>
      <c r="H37" s="2"/>
      <c r="I37" s="2"/>
      <c r="J37" s="18"/>
      <c r="K37" s="18"/>
      <c r="L37" s="153"/>
      <c r="M37" s="153"/>
      <c r="N37" s="153"/>
      <c r="O37" s="2"/>
      <c r="P37" s="2">
        <f>+O37/$O$3*12</f>
        <v>0</v>
      </c>
      <c r="Q37" s="18"/>
      <c r="R37" s="18"/>
      <c r="S37" s="18"/>
      <c r="T37" s="18"/>
      <c r="U37" s="89" t="e">
        <f t="shared" si="0"/>
        <v>#DIV/0!</v>
      </c>
    </row>
    <row r="38" spans="1:22" ht="12" customHeight="1">
      <c r="A38" t="s">
        <v>40</v>
      </c>
      <c r="B38" s="4">
        <v>57.2162</v>
      </c>
      <c r="C38" s="2"/>
      <c r="D38" s="2"/>
      <c r="E38" s="2"/>
      <c r="F38" s="2"/>
      <c r="G38" s="2"/>
      <c r="H38" s="2"/>
      <c r="I38" s="2"/>
      <c r="J38" s="18"/>
      <c r="K38" s="18"/>
      <c r="L38" s="153"/>
      <c r="M38" s="153"/>
      <c r="N38" s="153">
        <v>1575</v>
      </c>
      <c r="O38" s="2">
        <v>1416</v>
      </c>
      <c r="P38" s="2">
        <v>5000</v>
      </c>
      <c r="Q38" s="18">
        <v>15000</v>
      </c>
      <c r="R38" s="18">
        <v>15000</v>
      </c>
      <c r="S38" s="18">
        <v>15000</v>
      </c>
      <c r="T38" s="18">
        <v>15000</v>
      </c>
      <c r="U38" s="89">
        <f t="shared" si="0"/>
        <v>0</v>
      </c>
      <c r="V38" t="s">
        <v>575</v>
      </c>
    </row>
    <row r="39" spans="1:21" ht="12.75" customHeight="1" hidden="1">
      <c r="A39" t="s">
        <v>329</v>
      </c>
      <c r="B39" s="4" t="s">
        <v>120</v>
      </c>
      <c r="C39" s="2"/>
      <c r="D39" s="2">
        <v>125722</v>
      </c>
      <c r="E39" s="2"/>
      <c r="F39" s="2"/>
      <c r="G39" s="2"/>
      <c r="H39" s="2"/>
      <c r="I39" s="2"/>
      <c r="J39" s="18"/>
      <c r="K39" s="18"/>
      <c r="L39" s="153"/>
      <c r="M39" s="153"/>
      <c r="N39" s="153"/>
      <c r="O39" s="2"/>
      <c r="P39" s="2">
        <f>+O39/$O$3*12</f>
        <v>0</v>
      </c>
      <c r="Q39" s="18"/>
      <c r="R39" s="18"/>
      <c r="S39" s="18"/>
      <c r="T39" s="18"/>
      <c r="U39" s="51"/>
    </row>
    <row r="40" spans="1:21" ht="12.75" customHeight="1">
      <c r="A40" t="s">
        <v>42</v>
      </c>
      <c r="B40" s="4"/>
      <c r="C40" s="2"/>
      <c r="D40" s="2"/>
      <c r="E40" s="2"/>
      <c r="F40" s="2"/>
      <c r="G40" s="2"/>
      <c r="H40" s="2"/>
      <c r="I40" s="2"/>
      <c r="J40" s="18"/>
      <c r="K40" s="18"/>
      <c r="L40" s="153"/>
      <c r="M40" s="153"/>
      <c r="N40" s="153"/>
      <c r="O40" s="2"/>
      <c r="P40" s="2"/>
      <c r="Q40" s="18"/>
      <c r="R40" s="18"/>
      <c r="S40" s="18"/>
      <c r="T40" s="18"/>
      <c r="U40" s="51"/>
    </row>
    <row r="41" spans="1:22" ht="12.75" customHeight="1">
      <c r="A41" t="s">
        <v>1064</v>
      </c>
      <c r="B41" s="4"/>
      <c r="C41" s="2"/>
      <c r="D41" s="2"/>
      <c r="E41" s="2"/>
      <c r="F41" s="2"/>
      <c r="G41" s="2"/>
      <c r="H41" s="2"/>
      <c r="I41" s="2"/>
      <c r="J41" s="18"/>
      <c r="K41" s="18"/>
      <c r="L41" s="153"/>
      <c r="M41" s="153"/>
      <c r="N41" s="153"/>
      <c r="O41" s="2"/>
      <c r="P41" s="2"/>
      <c r="Q41" s="18"/>
      <c r="R41" s="18">
        <v>20000</v>
      </c>
      <c r="S41" s="18"/>
      <c r="T41" s="18"/>
      <c r="U41" s="51"/>
      <c r="V41" t="s">
        <v>588</v>
      </c>
    </row>
    <row r="42" spans="1:21" ht="12.75">
      <c r="A42" t="s">
        <v>56</v>
      </c>
      <c r="B42" s="4"/>
      <c r="C42" s="2"/>
      <c r="D42" s="2"/>
      <c r="E42" s="2"/>
      <c r="F42" s="2"/>
      <c r="G42" s="2"/>
      <c r="H42" s="2"/>
      <c r="I42" s="2"/>
      <c r="J42" s="18"/>
      <c r="K42" s="18"/>
      <c r="L42" s="153"/>
      <c r="M42" s="153">
        <v>21984</v>
      </c>
      <c r="N42" s="153"/>
      <c r="O42" s="18"/>
      <c r="P42" s="2"/>
      <c r="Q42" s="18"/>
      <c r="R42" s="18"/>
      <c r="S42" s="18"/>
      <c r="T42" s="18"/>
      <c r="U42" s="89"/>
    </row>
    <row r="43" spans="1:21" ht="12.75" hidden="1">
      <c r="A43" t="s">
        <v>322</v>
      </c>
      <c r="B43" s="4" t="s">
        <v>120</v>
      </c>
      <c r="C43" s="2">
        <v>23811</v>
      </c>
      <c r="D43" s="2"/>
      <c r="E43" s="2"/>
      <c r="F43" s="2"/>
      <c r="G43" s="2"/>
      <c r="H43" s="2"/>
      <c r="I43" s="2"/>
      <c r="J43" s="18"/>
      <c r="K43" s="18"/>
      <c r="L43" s="153"/>
      <c r="M43" s="153"/>
      <c r="N43" s="153"/>
      <c r="O43" s="2"/>
      <c r="P43" s="2">
        <f>+O43/$O$3*12</f>
        <v>0</v>
      </c>
      <c r="Q43" s="2"/>
      <c r="R43" s="18"/>
      <c r="S43" s="18"/>
      <c r="T43" s="18"/>
      <c r="U43" s="51"/>
    </row>
    <row r="44" spans="2:21" ht="12.75">
      <c r="B44" s="4"/>
      <c r="C44" s="2"/>
      <c r="D44" s="2"/>
      <c r="E44" s="2"/>
      <c r="F44" s="2"/>
      <c r="G44" s="2"/>
      <c r="H44" s="2"/>
      <c r="I44" s="2"/>
      <c r="J44" s="18"/>
      <c r="K44" s="18"/>
      <c r="L44" s="153"/>
      <c r="M44" s="153"/>
      <c r="N44" s="153"/>
      <c r="O44" s="2"/>
      <c r="P44" s="2"/>
      <c r="Q44" s="2"/>
      <c r="R44" s="18"/>
      <c r="S44" s="18"/>
      <c r="T44" s="18"/>
      <c r="U44" s="51"/>
    </row>
    <row r="45" spans="1:21" ht="12.75">
      <c r="A45" s="6" t="s">
        <v>119</v>
      </c>
      <c r="B45" s="6"/>
      <c r="C45" s="8">
        <f>SUM(C25:C44)</f>
        <v>107818</v>
      </c>
      <c r="D45" s="8">
        <f>SUM(D25:D44)</f>
        <v>208966</v>
      </c>
      <c r="E45" s="8">
        <f>SUM(E25:E44)</f>
        <v>20000</v>
      </c>
      <c r="F45" s="8">
        <f>SUM(F25:F44)</f>
        <v>160494</v>
      </c>
      <c r="G45" s="8">
        <f>SUM(G25:G44)</f>
        <v>76970</v>
      </c>
      <c r="H45" s="8">
        <v>71921</v>
      </c>
      <c r="I45" s="8">
        <v>63927</v>
      </c>
      <c r="J45" s="8">
        <v>96453</v>
      </c>
      <c r="K45" s="8">
        <v>150372</v>
      </c>
      <c r="L45" s="154">
        <v>157160</v>
      </c>
      <c r="M45" s="8">
        <v>91914</v>
      </c>
      <c r="N45" s="8">
        <v>174405</v>
      </c>
      <c r="O45" s="8">
        <f>SUM(O7:O44)-O36</f>
        <v>133562</v>
      </c>
      <c r="P45" s="8">
        <f>SUM(P7:P44)-P36</f>
        <v>209373.3333333333</v>
      </c>
      <c r="Q45" s="8">
        <f>SUM(Q7:Q44)-Q36</f>
        <v>220724.7235</v>
      </c>
      <c r="R45" s="177">
        <f>SUM(R7:R44)</f>
        <v>253470.876</v>
      </c>
      <c r="S45" s="177">
        <f>SUM(S7:S44)</f>
        <v>215220.876</v>
      </c>
      <c r="T45" s="177">
        <f>SUM(T7:T44)</f>
        <v>215220.876</v>
      </c>
      <c r="U45" s="52">
        <f>(T45-Q45)/Q45</f>
        <v>-0.024935346674021336</v>
      </c>
    </row>
    <row r="46" spans="3:21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51"/>
    </row>
    <row r="47" spans="3:21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2" t="s">
        <v>484</v>
      </c>
      <c r="R47" s="22"/>
      <c r="S47" s="55">
        <f>R45-S45</f>
        <v>38250</v>
      </c>
      <c r="T47" s="2"/>
      <c r="U47" s="51"/>
    </row>
    <row r="48" spans="1:21" ht="12.75">
      <c r="A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95"/>
      <c r="O48" s="2"/>
      <c r="P48" s="2"/>
      <c r="Q48" s="22" t="s">
        <v>725</v>
      </c>
      <c r="R48" s="22"/>
      <c r="S48" s="55">
        <f>Q45-S45</f>
        <v>5503.8475000000035</v>
      </c>
      <c r="T48" s="2"/>
      <c r="U48" s="51"/>
    </row>
    <row r="49" spans="17:21" ht="12.75">
      <c r="Q49" s="22" t="s">
        <v>432</v>
      </c>
      <c r="R49" s="22"/>
      <c r="S49" s="55">
        <f>S45-T45</f>
        <v>0</v>
      </c>
      <c r="U49" s="51"/>
    </row>
    <row r="50" spans="1:21" ht="12.75">
      <c r="A50" s="22" t="s">
        <v>1053</v>
      </c>
      <c r="U50" s="51"/>
    </row>
    <row r="51" spans="1:21" ht="12.75">
      <c r="A51" t="s">
        <v>1054</v>
      </c>
      <c r="U51" s="51"/>
    </row>
    <row r="52" spans="1:21" ht="12.75">
      <c r="A52" t="s">
        <v>35</v>
      </c>
      <c r="U52" s="51"/>
    </row>
    <row r="53" spans="1:21" ht="12.75">
      <c r="A53" t="s">
        <v>36</v>
      </c>
      <c r="U53" s="51"/>
    </row>
    <row r="54" spans="1:21" ht="12.75">
      <c r="A54" t="s">
        <v>37</v>
      </c>
      <c r="U54" s="51"/>
    </row>
    <row r="55" spans="1:21" ht="12.75">
      <c r="A55" t="s">
        <v>1096</v>
      </c>
      <c r="U55" s="51"/>
    </row>
    <row r="56" spans="1:21" ht="12.75">
      <c r="A56" s="22" t="s">
        <v>1101</v>
      </c>
      <c r="U56" s="51"/>
    </row>
    <row r="57" spans="1:21" ht="12.75">
      <c r="A57" s="6"/>
      <c r="U57" s="51"/>
    </row>
    <row r="58" spans="1:21" ht="12.75">
      <c r="A58" s="6"/>
      <c r="U58" s="51"/>
    </row>
    <row r="59" ht="12.75">
      <c r="U59" s="51"/>
    </row>
    <row r="60" spans="1:21" ht="12.75">
      <c r="A60" s="6"/>
      <c r="U60" s="51"/>
    </row>
    <row r="61" ht="12.75">
      <c r="U61" s="51"/>
    </row>
    <row r="62" ht="12.75">
      <c r="U62" s="51"/>
    </row>
    <row r="63" ht="12.75">
      <c r="U63" s="51"/>
    </row>
    <row r="64" ht="12.75">
      <c r="U64" s="51"/>
    </row>
    <row r="65" ht="12.75">
      <c r="U65" s="51"/>
    </row>
    <row r="66" ht="12.75">
      <c r="U66" s="51"/>
    </row>
    <row r="67" ht="12.75">
      <c r="U67" s="51"/>
    </row>
    <row r="68" ht="12.75">
      <c r="U68" s="51"/>
    </row>
    <row r="69" ht="12.75">
      <c r="U69" s="51"/>
    </row>
    <row r="70" ht="12.75">
      <c r="U70" s="51"/>
    </row>
    <row r="71" ht="12.75">
      <c r="U71" s="51"/>
    </row>
    <row r="72" ht="12.75">
      <c r="U72" s="51"/>
    </row>
    <row r="85" ht="12.75">
      <c r="U85" s="2"/>
    </row>
    <row r="86" ht="12.75">
      <c r="U86" s="2"/>
    </row>
    <row r="87" spans="3:21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3:21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3:21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3:21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W67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11" width="11.7109375" style="0" hidden="1" customWidth="1"/>
    <col min="12" max="14" width="11.7109375" style="0" customWidth="1"/>
    <col min="15" max="15" width="10.8515625" style="0" bestFit="1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482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 hidden="1">
      <c r="A7" t="s">
        <v>679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M7" s="18"/>
      <c r="N7" s="18"/>
      <c r="R7" s="2"/>
      <c r="S7" s="2"/>
      <c r="U7" s="89"/>
    </row>
    <row r="8" spans="1:21" ht="12.75" hidden="1">
      <c r="A8" t="s">
        <v>502</v>
      </c>
      <c r="B8" s="4">
        <v>54.1003</v>
      </c>
      <c r="E8" s="2"/>
      <c r="F8" s="36"/>
      <c r="G8" s="36"/>
      <c r="H8" s="36"/>
      <c r="I8" s="36"/>
      <c r="J8" s="36"/>
      <c r="K8" s="36"/>
      <c r="L8" s="36"/>
      <c r="M8" s="36"/>
      <c r="N8" s="36"/>
      <c r="R8" s="2"/>
      <c r="S8" s="2"/>
      <c r="U8" s="89"/>
    </row>
    <row r="9" spans="1:21" ht="12.75" hidden="1">
      <c r="A9" t="s">
        <v>355</v>
      </c>
      <c r="B9" s="4">
        <v>54.1004</v>
      </c>
      <c r="D9" s="2"/>
      <c r="E9" s="2"/>
      <c r="F9" s="36"/>
      <c r="G9" s="36"/>
      <c r="H9" s="36">
        <v>9940</v>
      </c>
      <c r="I9" s="36"/>
      <c r="J9" s="36"/>
      <c r="K9" s="36"/>
      <c r="L9" s="36"/>
      <c r="M9" s="36"/>
      <c r="N9" s="36"/>
      <c r="Q9" s="76"/>
      <c r="R9" s="2"/>
      <c r="S9" s="2"/>
      <c r="U9" s="89"/>
    </row>
    <row r="10" spans="1:21" ht="12.75" hidden="1">
      <c r="A10" t="s">
        <v>515</v>
      </c>
      <c r="B10" s="4"/>
      <c r="D10" s="2"/>
      <c r="E10" s="2"/>
      <c r="F10" s="36">
        <v>10000</v>
      </c>
      <c r="G10" s="36"/>
      <c r="H10" s="36"/>
      <c r="I10" s="36"/>
      <c r="J10" s="36"/>
      <c r="K10" s="36"/>
      <c r="L10" s="36"/>
      <c r="M10" s="36"/>
      <c r="N10" s="36"/>
      <c r="Q10" s="76"/>
      <c r="R10" s="2"/>
      <c r="S10" s="2"/>
      <c r="U10" s="89"/>
    </row>
    <row r="11" spans="1:21" ht="12.75">
      <c r="A11" t="s">
        <v>628</v>
      </c>
      <c r="B11" s="4"/>
      <c r="D11" s="2"/>
      <c r="E11" s="2"/>
      <c r="F11" s="36"/>
      <c r="G11" s="36"/>
      <c r="H11" s="36"/>
      <c r="I11" s="36"/>
      <c r="J11" s="36"/>
      <c r="K11" s="36"/>
      <c r="L11" s="36">
        <v>6000</v>
      </c>
      <c r="M11" s="36"/>
      <c r="N11" s="36"/>
      <c r="R11" s="2"/>
      <c r="S11" s="2"/>
      <c r="T11" s="2"/>
      <c r="U11" s="89"/>
    </row>
    <row r="12" spans="1:21" ht="12.75">
      <c r="A12" t="s">
        <v>922</v>
      </c>
      <c r="B12" s="4"/>
      <c r="D12" s="2"/>
      <c r="E12" s="2"/>
      <c r="F12" s="36"/>
      <c r="G12" s="36"/>
      <c r="H12" s="36"/>
      <c r="I12" s="36"/>
      <c r="J12" s="36"/>
      <c r="K12" s="36"/>
      <c r="L12" s="36"/>
      <c r="M12" s="36"/>
      <c r="N12" s="36"/>
      <c r="R12" s="2"/>
      <c r="S12" s="2"/>
      <c r="T12" s="2"/>
      <c r="U12" s="89"/>
    </row>
    <row r="13" spans="1:21" ht="12.75">
      <c r="A13" t="s">
        <v>923</v>
      </c>
      <c r="B13" s="4"/>
      <c r="D13" s="2"/>
      <c r="E13" s="2"/>
      <c r="F13" s="36"/>
      <c r="G13" s="36"/>
      <c r="H13" s="36"/>
      <c r="I13" s="36"/>
      <c r="J13" s="36"/>
      <c r="K13" s="36"/>
      <c r="L13" s="36"/>
      <c r="M13" s="36"/>
      <c r="N13" s="36"/>
      <c r="R13" s="2"/>
      <c r="S13" s="2"/>
      <c r="T13" s="2"/>
      <c r="U13" s="89"/>
    </row>
    <row r="14" spans="2:21" ht="12.75">
      <c r="B14" s="4"/>
      <c r="D14" s="2"/>
      <c r="E14" s="2"/>
      <c r="F14" s="36"/>
      <c r="G14" s="36"/>
      <c r="H14" s="36"/>
      <c r="I14" s="36"/>
      <c r="J14" s="36"/>
      <c r="K14" s="36"/>
      <c r="L14" s="36"/>
      <c r="M14" s="36"/>
      <c r="N14" s="36"/>
      <c r="R14" s="2"/>
      <c r="S14" s="2"/>
      <c r="T14" s="2"/>
      <c r="U14" s="89"/>
    </row>
    <row r="15" spans="1:21" ht="12.75">
      <c r="A15" t="s">
        <v>316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3500</v>
      </c>
      <c r="O15" s="2">
        <v>2625</v>
      </c>
      <c r="P15" s="2">
        <v>3500</v>
      </c>
      <c r="Q15" s="20">
        <v>3500</v>
      </c>
      <c r="R15" s="20"/>
      <c r="S15" s="2"/>
      <c r="T15" s="2"/>
      <c r="U15" s="89"/>
    </row>
    <row r="16" spans="2:21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9"/>
    </row>
    <row r="17" spans="2:21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T18">SUM(K7:K17)</f>
        <v>7250</v>
      </c>
      <c r="L18" s="8">
        <v>13250</v>
      </c>
      <c r="M18" s="8">
        <v>6199</v>
      </c>
      <c r="N18" s="8">
        <v>3500</v>
      </c>
      <c r="O18" s="8">
        <f t="shared" si="0"/>
        <v>2625</v>
      </c>
      <c r="P18" s="8">
        <f t="shared" si="0"/>
        <v>3500</v>
      </c>
      <c r="Q18" s="8">
        <f t="shared" si="0"/>
        <v>3500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52">
        <f>(T18-Q18)/Q18</f>
        <v>-1</v>
      </c>
    </row>
    <row r="19" ht="12.75">
      <c r="U19" s="51"/>
    </row>
    <row r="20" spans="1:21" ht="12.75">
      <c r="A20" s="6" t="s">
        <v>1042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 t="s">
        <v>484</v>
      </c>
      <c r="R20" s="22"/>
      <c r="S20" s="55">
        <f>R18-S18</f>
        <v>0</v>
      </c>
      <c r="T20" s="6"/>
      <c r="U20" s="51"/>
    </row>
    <row r="21" spans="1:21" ht="12.75">
      <c r="A21" s="6" t="s">
        <v>1083</v>
      </c>
      <c r="Q21" s="22" t="s">
        <v>725</v>
      </c>
      <c r="R21" s="22"/>
      <c r="S21" s="55">
        <f>Q18-S18</f>
        <v>3500</v>
      </c>
      <c r="U21" s="51"/>
    </row>
    <row r="22" spans="17:23" ht="12.75">
      <c r="Q22" s="22" t="s">
        <v>432</v>
      </c>
      <c r="R22" s="22"/>
      <c r="S22" s="55">
        <f>S18-T18</f>
        <v>0</v>
      </c>
      <c r="U22" s="51"/>
      <c r="W22" t="s">
        <v>649</v>
      </c>
    </row>
    <row r="23" spans="17:21" ht="12.75">
      <c r="Q23" s="22"/>
      <c r="R23" s="22"/>
      <c r="S23" s="55"/>
      <c r="U23" s="51"/>
    </row>
    <row r="24" ht="12.75">
      <c r="U24" s="51"/>
    </row>
    <row r="25" spans="1:21" ht="12.75">
      <c r="A25" s="6"/>
      <c r="U25" s="51"/>
    </row>
    <row r="26" spans="1:21" ht="12.75">
      <c r="A26" s="6"/>
      <c r="U26" s="51"/>
    </row>
    <row r="27" spans="1:21" ht="12.75">
      <c r="A27" s="6"/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54" ht="12.75">
      <c r="U54" s="2"/>
    </row>
    <row r="55" ht="12.75">
      <c r="U55" s="2"/>
    </row>
    <row r="56" ht="12.75">
      <c r="U56" s="2"/>
    </row>
    <row r="57" ht="12.75">
      <c r="U57" s="2"/>
    </row>
    <row r="58" ht="12.75">
      <c r="U58" s="2"/>
    </row>
    <row r="59" ht="12.75">
      <c r="U59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W65"/>
  <sheetViews>
    <sheetView zoomScale="75" zoomScaleNormal="75" workbookViewId="0" topLeftCell="A1">
      <selection activeCell="T9" sqref="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483</v>
      </c>
      <c r="O3" s="56">
        <v>8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680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2"/>
      <c r="T7" s="2"/>
      <c r="U7" s="89" t="e">
        <f>(T7-Q7)/Q7</f>
        <v>#DIV/0!</v>
      </c>
    </row>
    <row r="8" spans="2:21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1"/>
    </row>
    <row r="9" spans="1:21" ht="12.75">
      <c r="A9" t="s">
        <v>396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/>
      <c r="O9" s="2">
        <v>100</v>
      </c>
      <c r="P9" s="2">
        <v>100</v>
      </c>
      <c r="Q9" s="2">
        <v>100</v>
      </c>
      <c r="R9" s="2">
        <v>100</v>
      </c>
      <c r="S9" s="2">
        <v>100</v>
      </c>
      <c r="T9" s="2">
        <v>100</v>
      </c>
      <c r="U9" s="89">
        <f>(T9-Q9)/Q9</f>
        <v>0</v>
      </c>
    </row>
    <row r="10" spans="2:21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>
      <c r="A11" s="6" t="s">
        <v>119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T11">SUM(K7:K10)</f>
        <v>100</v>
      </c>
      <c r="L11" s="8">
        <v>100</v>
      </c>
      <c r="M11" s="8">
        <v>855</v>
      </c>
      <c r="N11" s="8">
        <v>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  <c r="T11" s="8">
        <f t="shared" si="0"/>
        <v>100</v>
      </c>
      <c r="U11" s="52">
        <f>(T11-Q11)/Q11</f>
        <v>0</v>
      </c>
    </row>
    <row r="12" ht="12.75">
      <c r="U12" s="51"/>
    </row>
    <row r="13" spans="17:21" ht="12.75">
      <c r="Q13" s="22" t="s">
        <v>484</v>
      </c>
      <c r="R13" s="22"/>
      <c r="S13" s="55">
        <f>R11-S11</f>
        <v>0</v>
      </c>
      <c r="U13" s="51"/>
    </row>
    <row r="14" spans="17:21" ht="12.75">
      <c r="Q14" s="22" t="s">
        <v>725</v>
      </c>
      <c r="R14" s="22"/>
      <c r="S14" s="55">
        <f>Q11-S11</f>
        <v>0</v>
      </c>
      <c r="U14" s="51"/>
    </row>
    <row r="15" spans="17:21" ht="12.75">
      <c r="Q15" s="22" t="s">
        <v>432</v>
      </c>
      <c r="R15" s="22"/>
      <c r="S15" s="55">
        <f>S11-T11</f>
        <v>0</v>
      </c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53" spans="3:20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W69"/>
  <sheetViews>
    <sheetView zoomScale="75" zoomScaleNormal="75" workbookViewId="0" topLeftCell="A1">
      <selection activeCell="T7" sqref="T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4" width="6.421875" style="0" hidden="1" customWidth="1"/>
    <col min="5" max="5" width="0.5625" style="0" hidden="1" customWidth="1"/>
    <col min="6" max="6" width="6.421875" style="0" hidden="1" customWidth="1"/>
    <col min="7" max="11" width="8.00390625" style="0" hidden="1" customWidth="1"/>
    <col min="12" max="12" width="8.00390625" style="0" bestFit="1" customWidth="1"/>
    <col min="13" max="14" width="8.00390625" style="0" customWidth="1"/>
    <col min="15" max="16" width="7.57421875" style="0" bestFit="1" customWidth="1"/>
    <col min="17" max="17" width="8.140625" style="0" customWidth="1"/>
    <col min="18" max="18" width="8.421875" style="0" customWidth="1"/>
    <col min="19" max="19" width="11.00390625" style="0" bestFit="1" customWidth="1"/>
    <col min="20" max="20" width="8.0039062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503</v>
      </c>
      <c r="O3" s="56">
        <v>9</v>
      </c>
      <c r="P3" s="9"/>
      <c r="U3" s="1" t="s">
        <v>434</v>
      </c>
    </row>
    <row r="4" spans="3:2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1" ht="12.75">
      <c r="A7" t="s">
        <v>358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15000</v>
      </c>
      <c r="O7" s="2">
        <v>12750</v>
      </c>
      <c r="P7" s="2">
        <v>12750</v>
      </c>
      <c r="Q7" s="2">
        <v>12750</v>
      </c>
      <c r="R7" s="2">
        <v>15000</v>
      </c>
      <c r="S7" s="2">
        <v>12750</v>
      </c>
      <c r="T7" s="2">
        <v>12750</v>
      </c>
      <c r="U7" s="89">
        <f>(T7-Q7)/Q7</f>
        <v>0</v>
      </c>
    </row>
    <row r="8" spans="1:21" ht="12.75">
      <c r="A8" t="s">
        <v>71</v>
      </c>
      <c r="B8" s="4"/>
      <c r="C8" s="2"/>
      <c r="D8" s="2"/>
      <c r="E8" s="2"/>
      <c r="F8" s="2"/>
      <c r="G8" s="2"/>
      <c r="H8" s="2"/>
      <c r="I8" s="2"/>
      <c r="J8" s="2"/>
      <c r="K8" s="2"/>
      <c r="L8" s="2">
        <v>1884</v>
      </c>
      <c r="M8" s="2">
        <v>1532</v>
      </c>
      <c r="N8" s="2"/>
      <c r="O8" s="2">
        <v>85</v>
      </c>
      <c r="P8" s="2">
        <v>500</v>
      </c>
      <c r="Q8" s="2"/>
      <c r="R8" s="2"/>
      <c r="S8" s="2"/>
      <c r="T8" s="2"/>
      <c r="U8" s="89"/>
    </row>
    <row r="9" spans="1:21" ht="12.75">
      <c r="A9" t="s">
        <v>906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1"/>
    </row>
    <row r="10" spans="1:21" ht="12.75">
      <c r="A10" s="6" t="s">
        <v>119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T10">SUM(K7:K9)</f>
        <v>25000</v>
      </c>
      <c r="L10" s="8">
        <v>26884</v>
      </c>
      <c r="M10" s="8">
        <v>22907</v>
      </c>
      <c r="N10" s="8">
        <v>15000</v>
      </c>
      <c r="O10" s="8">
        <f t="shared" si="0"/>
        <v>12835</v>
      </c>
      <c r="P10" s="8">
        <f t="shared" si="0"/>
        <v>13250</v>
      </c>
      <c r="Q10" s="8">
        <f t="shared" si="0"/>
        <v>12750</v>
      </c>
      <c r="R10" s="8">
        <f t="shared" si="0"/>
        <v>15000</v>
      </c>
      <c r="S10" s="8">
        <f t="shared" si="0"/>
        <v>12750</v>
      </c>
      <c r="T10" s="8">
        <f t="shared" si="0"/>
        <v>12750</v>
      </c>
      <c r="U10" s="52">
        <f>(T10-Q10)/Q10</f>
        <v>0</v>
      </c>
    </row>
    <row r="11" ht="12.75">
      <c r="U11" s="51"/>
    </row>
    <row r="12" spans="17:21" ht="12.75">
      <c r="Q12" s="22" t="s">
        <v>484</v>
      </c>
      <c r="R12" s="22"/>
      <c r="S12" s="55">
        <f>R10-S10</f>
        <v>2250</v>
      </c>
      <c r="U12" s="51"/>
    </row>
    <row r="13" spans="17:21" ht="12.75">
      <c r="Q13" s="22" t="s">
        <v>725</v>
      </c>
      <c r="R13" s="22"/>
      <c r="S13" s="55">
        <f>Q10-S10</f>
        <v>0</v>
      </c>
      <c r="U13" s="51"/>
    </row>
    <row r="14" spans="17:21" ht="12.75">
      <c r="Q14" s="22" t="s">
        <v>432</v>
      </c>
      <c r="R14" s="22"/>
      <c r="S14" s="55">
        <f>S10-T10</f>
        <v>0</v>
      </c>
      <c r="U14" s="51"/>
    </row>
    <row r="15" ht="12.75">
      <c r="U15" s="51"/>
    </row>
    <row r="16" spans="1:21" ht="12.75">
      <c r="A16" s="6"/>
      <c r="U16" s="51"/>
    </row>
    <row r="17" spans="1:21" ht="12.75">
      <c r="A17" s="6"/>
      <c r="U17" s="51"/>
    </row>
    <row r="18" ht="12.75">
      <c r="U18" s="51"/>
    </row>
    <row r="19" spans="1:21" ht="12.75">
      <c r="A19" s="6"/>
      <c r="U19" s="51"/>
    </row>
    <row r="20" ht="12.75">
      <c r="U20" s="51"/>
    </row>
    <row r="21" spans="21:23" ht="12.75">
      <c r="U21" s="51"/>
      <c r="W21" t="s">
        <v>649</v>
      </c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4" ht="12.75">
      <c r="U64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2:AL38"/>
  <sheetViews>
    <sheetView workbookViewId="0" topLeftCell="A1">
      <selection activeCell="AD17" sqref="AD17"/>
    </sheetView>
  </sheetViews>
  <sheetFormatPr defaultColWidth="9.140625" defaultRowHeight="12.75"/>
  <cols>
    <col min="1" max="1" width="16.7109375" style="0" bestFit="1" customWidth="1"/>
    <col min="2" max="2" width="9.28125" style="0" hidden="1" customWidth="1"/>
    <col min="3" max="3" width="0.13671875" style="0" hidden="1" customWidth="1"/>
    <col min="4" max="4" width="8.8515625" style="0" hidden="1" customWidth="1"/>
    <col min="5" max="5" width="9.57421875" style="0" hidden="1" customWidth="1"/>
    <col min="6" max="6" width="0.13671875" style="0" hidden="1" customWidth="1"/>
    <col min="7" max="7" width="9.28125" style="0" hidden="1" customWidth="1"/>
    <col min="8" max="8" width="9.57421875" style="0" hidden="1" customWidth="1"/>
    <col min="9" max="9" width="8.140625" style="0" hidden="1" customWidth="1"/>
    <col min="10" max="10" width="8.8515625" style="0" hidden="1" customWidth="1"/>
    <col min="11" max="11" width="11.140625" style="0" hidden="1" customWidth="1"/>
    <col min="12" max="12" width="11.00390625" style="0" hidden="1" customWidth="1"/>
    <col min="13" max="13" width="8.8515625" style="0" hidden="1" customWidth="1"/>
    <col min="14" max="14" width="14.00390625" style="0" hidden="1" customWidth="1"/>
    <col min="15" max="15" width="9.140625" style="0" hidden="1" customWidth="1"/>
    <col min="16" max="17" width="9.28125" style="0" hidden="1" customWidth="1"/>
    <col min="18" max="18" width="9.140625" style="0" hidden="1" customWidth="1"/>
    <col min="19" max="20" width="9.28125" style="0" hidden="1" customWidth="1"/>
    <col min="21" max="21" width="9.140625" style="0" hidden="1" customWidth="1"/>
    <col min="22" max="23" width="9.28125" style="0" hidden="1" customWidth="1"/>
    <col min="24" max="24" width="9.140625" style="0" hidden="1" customWidth="1"/>
    <col min="25" max="25" width="0.13671875" style="0" hidden="1" customWidth="1"/>
    <col min="26" max="26" width="9.28125" style="0" hidden="1" customWidth="1"/>
    <col min="27" max="28" width="9.28125" style="0" customWidth="1"/>
    <col min="30" max="31" width="9.28125" style="0" customWidth="1"/>
  </cols>
  <sheetData>
    <row r="2" spans="4:34" ht="12.75">
      <c r="D2" t="s">
        <v>577</v>
      </c>
      <c r="G2" t="s">
        <v>578</v>
      </c>
      <c r="J2" t="s">
        <v>593</v>
      </c>
      <c r="K2" s="56" t="s">
        <v>595</v>
      </c>
      <c r="M2" t="s">
        <v>689</v>
      </c>
      <c r="N2" s="56" t="s">
        <v>595</v>
      </c>
      <c r="P2" t="s">
        <v>723</v>
      </c>
      <c r="Q2" s="56" t="s">
        <v>746</v>
      </c>
      <c r="S2" t="s">
        <v>820</v>
      </c>
      <c r="T2" s="56" t="s">
        <v>808</v>
      </c>
      <c r="U2" s="6" t="s">
        <v>85</v>
      </c>
      <c r="V2" t="s">
        <v>815</v>
      </c>
      <c r="W2" s="56"/>
      <c r="Y2" t="s">
        <v>84</v>
      </c>
      <c r="Z2" s="56"/>
      <c r="AB2" t="s">
        <v>44</v>
      </c>
      <c r="AC2" s="56"/>
      <c r="AE2" t="s">
        <v>1023</v>
      </c>
      <c r="AF2" s="56"/>
      <c r="AH2">
        <v>2014</v>
      </c>
    </row>
    <row r="3" spans="1:34" ht="12.75">
      <c r="A3" s="60"/>
      <c r="B3" s="63" t="s">
        <v>487</v>
      </c>
      <c r="C3" s="64" t="s">
        <v>535</v>
      </c>
      <c r="D3" s="38" t="s">
        <v>488</v>
      </c>
      <c r="E3" s="38" t="s">
        <v>489</v>
      </c>
      <c r="F3" s="38" t="s">
        <v>495</v>
      </c>
      <c r="G3" s="38" t="s">
        <v>488</v>
      </c>
      <c r="H3" s="38" t="s">
        <v>489</v>
      </c>
      <c r="I3" s="64" t="s">
        <v>594</v>
      </c>
      <c r="J3" s="38" t="s">
        <v>488</v>
      </c>
      <c r="K3" s="38" t="s">
        <v>489</v>
      </c>
      <c r="L3" s="64" t="s">
        <v>724</v>
      </c>
      <c r="M3" s="38" t="s">
        <v>488</v>
      </c>
      <c r="N3" s="38" t="s">
        <v>489</v>
      </c>
      <c r="O3" s="64" t="s">
        <v>747</v>
      </c>
      <c r="P3" s="38" t="s">
        <v>488</v>
      </c>
      <c r="Q3" s="38" t="s">
        <v>489</v>
      </c>
      <c r="R3" s="64" t="s">
        <v>816</v>
      </c>
      <c r="S3" s="38" t="s">
        <v>488</v>
      </c>
      <c r="T3" s="38" t="s">
        <v>489</v>
      </c>
      <c r="U3" s="64" t="s">
        <v>945</v>
      </c>
      <c r="V3" s="38" t="s">
        <v>488</v>
      </c>
      <c r="W3" s="38" t="s">
        <v>489</v>
      </c>
      <c r="X3" s="64" t="s">
        <v>945</v>
      </c>
      <c r="Y3" s="38" t="s">
        <v>488</v>
      </c>
      <c r="Z3" s="38" t="s">
        <v>489</v>
      </c>
      <c r="AA3" s="64" t="s">
        <v>945</v>
      </c>
      <c r="AB3" s="38" t="s">
        <v>488</v>
      </c>
      <c r="AC3" s="38" t="s">
        <v>489</v>
      </c>
      <c r="AD3" s="64" t="s">
        <v>945</v>
      </c>
      <c r="AE3" s="38" t="s">
        <v>488</v>
      </c>
      <c r="AF3" s="38" t="s">
        <v>489</v>
      </c>
      <c r="AH3" t="s">
        <v>1015</v>
      </c>
    </row>
    <row r="4" spans="2:30" ht="12.75">
      <c r="B4" s="65"/>
      <c r="C4" s="66"/>
      <c r="I4" s="66"/>
      <c r="L4" s="66"/>
      <c r="O4" s="66"/>
      <c r="R4" s="66"/>
      <c r="U4" s="66"/>
      <c r="X4" s="66"/>
      <c r="AA4" s="66"/>
      <c r="AD4" s="66"/>
    </row>
    <row r="5" spans="1:32" ht="12.75">
      <c r="A5" t="s">
        <v>490</v>
      </c>
      <c r="B5" s="65">
        <v>227.14</v>
      </c>
      <c r="C5" s="66">
        <v>242.43</v>
      </c>
      <c r="D5">
        <f>C5-B5</f>
        <v>15.29000000000002</v>
      </c>
      <c r="E5" s="68">
        <f>D5/B5</f>
        <v>0.0673153121422912</v>
      </c>
      <c r="F5">
        <v>254.34</v>
      </c>
      <c r="G5" s="67">
        <f>F5-C5</f>
        <v>11.909999999999997</v>
      </c>
      <c r="H5" s="68">
        <f>G5/C5</f>
        <v>0.04912758321989851</v>
      </c>
      <c r="I5" s="66">
        <v>255.14</v>
      </c>
      <c r="J5">
        <f>I5-F5</f>
        <v>0.799999999999983</v>
      </c>
      <c r="K5" s="68">
        <f>J5/F5</f>
        <v>0.003145395926712208</v>
      </c>
      <c r="L5" s="66">
        <v>273</v>
      </c>
      <c r="M5">
        <f>L5-I5</f>
        <v>17.860000000000014</v>
      </c>
      <c r="N5" s="68">
        <f>M5/I5</f>
        <v>0.07000078388335822</v>
      </c>
      <c r="O5" s="66">
        <v>329.36</v>
      </c>
      <c r="P5">
        <f>O5-L5</f>
        <v>56.360000000000014</v>
      </c>
      <c r="Q5" s="68">
        <f>P5/L5</f>
        <v>0.2064468864468865</v>
      </c>
      <c r="R5" s="66">
        <v>359.58</v>
      </c>
      <c r="S5">
        <f>R5-O5</f>
        <v>30.21999999999997</v>
      </c>
      <c r="T5" s="68">
        <f>S5/O5</f>
        <v>0.09175370415350974</v>
      </c>
      <c r="U5" s="70">
        <v>372.66</v>
      </c>
      <c r="V5" s="67">
        <f>U5-R5</f>
        <v>13.080000000000041</v>
      </c>
      <c r="W5" s="68">
        <f>V5/R5</f>
        <v>0.03637577173368942</v>
      </c>
      <c r="X5" s="70">
        <v>369.91</v>
      </c>
      <c r="Y5" s="67">
        <f>X5-U5</f>
        <v>-2.75</v>
      </c>
      <c r="Z5" s="68">
        <f>Y5/U5</f>
        <v>-0.007379380668706059</v>
      </c>
      <c r="AA5" s="70">
        <v>403.09</v>
      </c>
      <c r="AB5" s="67">
        <f>AA5-X5</f>
        <v>33.17999999999995</v>
      </c>
      <c r="AC5" s="68">
        <f>AB5/X5</f>
        <v>0.08969749398502325</v>
      </c>
      <c r="AD5" s="70">
        <f>403.09*(1+AK27)</f>
        <v>435.6759419346547</v>
      </c>
      <c r="AE5" s="67">
        <f>AD5-AA5</f>
        <v>32.58594193465473</v>
      </c>
      <c r="AF5" s="68">
        <f>AE5/AA5</f>
        <v>0.08084036303221298</v>
      </c>
    </row>
    <row r="6" spans="2:32" ht="12.75">
      <c r="B6" s="65"/>
      <c r="C6" s="66"/>
      <c r="E6" s="68"/>
      <c r="H6" s="68"/>
      <c r="I6" s="66"/>
      <c r="K6" s="68"/>
      <c r="L6" s="66"/>
      <c r="N6" s="68"/>
      <c r="O6" s="66"/>
      <c r="Q6" s="68"/>
      <c r="R6" s="66"/>
      <c r="T6" s="68"/>
      <c r="U6" s="66"/>
      <c r="W6" s="68"/>
      <c r="X6" s="66"/>
      <c r="Z6" s="68"/>
      <c r="AA6" s="66"/>
      <c r="AC6" s="68"/>
      <c r="AD6" s="66"/>
      <c r="AF6" s="68"/>
    </row>
    <row r="7" spans="1:32" ht="12.75">
      <c r="A7" t="s">
        <v>491</v>
      </c>
      <c r="B7" s="65">
        <v>3.96</v>
      </c>
      <c r="C7" s="70">
        <v>4.2</v>
      </c>
      <c r="D7" s="67">
        <f>C7-B7</f>
        <v>0.2400000000000002</v>
      </c>
      <c r="E7" s="68">
        <f>D7/B7</f>
        <v>0.06060606060606066</v>
      </c>
      <c r="F7" s="67">
        <v>4.2</v>
      </c>
      <c r="G7" s="67">
        <f>F7-C7</f>
        <v>0</v>
      </c>
      <c r="H7" s="69">
        <f>G7/B7</f>
        <v>0</v>
      </c>
      <c r="I7" s="70">
        <v>4.2</v>
      </c>
      <c r="J7">
        <f>I7-F7</f>
        <v>0</v>
      </c>
      <c r="K7" s="68">
        <f>J7/F7</f>
        <v>0</v>
      </c>
      <c r="L7" s="70">
        <v>4.2</v>
      </c>
      <c r="M7">
        <f>L7-I7</f>
        <v>0</v>
      </c>
      <c r="N7" s="68">
        <f>M7/I7</f>
        <v>0</v>
      </c>
      <c r="O7" s="70">
        <v>4.2</v>
      </c>
      <c r="P7">
        <f>O7-L7</f>
        <v>0</v>
      </c>
      <c r="Q7" s="68">
        <f>P7/L7</f>
        <v>0</v>
      </c>
      <c r="R7" s="70">
        <v>4.2</v>
      </c>
      <c r="S7">
        <f>R7-O7</f>
        <v>0</v>
      </c>
      <c r="T7" s="68">
        <f>S7/O7</f>
        <v>0</v>
      </c>
      <c r="U7" s="70">
        <v>4.2</v>
      </c>
      <c r="V7">
        <f>U7-R7</f>
        <v>0</v>
      </c>
      <c r="W7" s="68">
        <f>V7/R7</f>
        <v>0</v>
      </c>
      <c r="X7" s="70">
        <v>4.2</v>
      </c>
      <c r="Y7">
        <f>X7-U7</f>
        <v>0</v>
      </c>
      <c r="Z7" s="68">
        <f>Y7/U7</f>
        <v>0</v>
      </c>
      <c r="AA7" s="70">
        <v>4.2</v>
      </c>
      <c r="AB7">
        <f>AA7-X7</f>
        <v>0</v>
      </c>
      <c r="AC7" s="68">
        <f>AB7/X7</f>
        <v>0</v>
      </c>
      <c r="AD7" s="70">
        <v>4.2</v>
      </c>
      <c r="AE7">
        <f>AD7-AA7</f>
        <v>0</v>
      </c>
      <c r="AF7" s="68">
        <f>AE7/AA7</f>
        <v>0</v>
      </c>
    </row>
    <row r="8" spans="2:32" ht="12.75">
      <c r="B8" s="65"/>
      <c r="C8" s="70"/>
      <c r="E8" s="68"/>
      <c r="F8" s="67"/>
      <c r="H8" s="69"/>
      <c r="I8" s="70"/>
      <c r="K8" s="68"/>
      <c r="L8" s="70"/>
      <c r="N8" s="68"/>
      <c r="O8" s="70"/>
      <c r="Q8" s="68"/>
      <c r="R8" s="70"/>
      <c r="T8" s="68"/>
      <c r="U8" s="70"/>
      <c r="W8" s="68"/>
      <c r="X8" s="70"/>
      <c r="Z8" s="68"/>
      <c r="AA8" s="70"/>
      <c r="AC8" s="68"/>
      <c r="AD8" s="70"/>
      <c r="AF8" s="68"/>
    </row>
    <row r="9" spans="1:32" ht="12.75">
      <c r="A9" t="s">
        <v>492</v>
      </c>
      <c r="B9" s="65">
        <v>5.3</v>
      </c>
      <c r="C9" s="70">
        <v>5.3</v>
      </c>
      <c r="D9">
        <f>C9-B9</f>
        <v>0</v>
      </c>
      <c r="E9" s="68">
        <f>D9/B9</f>
        <v>0</v>
      </c>
      <c r="F9" s="67">
        <v>6</v>
      </c>
      <c r="G9">
        <v>0</v>
      </c>
      <c r="H9">
        <v>0</v>
      </c>
      <c r="I9" s="70">
        <v>6</v>
      </c>
      <c r="J9">
        <f>I9-F9</f>
        <v>0</v>
      </c>
      <c r="K9" s="68">
        <f>J9/F9</f>
        <v>0</v>
      </c>
      <c r="L9" s="70">
        <v>6</v>
      </c>
      <c r="M9">
        <f>L9-I9</f>
        <v>0</v>
      </c>
      <c r="N9" s="68">
        <f>M9/I9</f>
        <v>0</v>
      </c>
      <c r="O9" s="70">
        <v>6</v>
      </c>
      <c r="P9">
        <f>O9-L9</f>
        <v>0</v>
      </c>
      <c r="Q9" s="68">
        <f>P9/L9</f>
        <v>0</v>
      </c>
      <c r="R9" s="70">
        <v>6</v>
      </c>
      <c r="S9">
        <f>R9-O9</f>
        <v>0</v>
      </c>
      <c r="T9" s="68">
        <f>S9/O9</f>
        <v>0</v>
      </c>
      <c r="U9" s="70">
        <v>6</v>
      </c>
      <c r="V9">
        <f>U9-R9</f>
        <v>0</v>
      </c>
      <c r="W9" s="68">
        <f>V9/R9</f>
        <v>0</v>
      </c>
      <c r="X9" s="70">
        <v>6</v>
      </c>
      <c r="Y9">
        <f>X9-U9</f>
        <v>0</v>
      </c>
      <c r="Z9" s="68">
        <f>Y9/U9</f>
        <v>0</v>
      </c>
      <c r="AA9" s="70">
        <v>6</v>
      </c>
      <c r="AB9">
        <f>AA9-X9</f>
        <v>0</v>
      </c>
      <c r="AC9" s="68">
        <f>AB9/X9</f>
        <v>0</v>
      </c>
      <c r="AD9" s="70">
        <v>6</v>
      </c>
      <c r="AE9">
        <f>AD9-AA9</f>
        <v>0</v>
      </c>
      <c r="AF9" s="68">
        <f>AE9/AA9</f>
        <v>0</v>
      </c>
    </row>
    <row r="10" spans="2:32" ht="12.75">
      <c r="B10" s="65"/>
      <c r="C10" s="66"/>
      <c r="E10" s="68"/>
      <c r="I10" s="66"/>
      <c r="K10" s="68"/>
      <c r="L10" s="66"/>
      <c r="N10" s="68"/>
      <c r="O10" s="66"/>
      <c r="Q10" s="68"/>
      <c r="R10" s="66"/>
      <c r="T10" s="68"/>
      <c r="U10" s="66"/>
      <c r="W10" s="68"/>
      <c r="X10" s="66"/>
      <c r="Z10" s="68"/>
      <c r="AA10" s="66"/>
      <c r="AC10" s="68"/>
      <c r="AD10" s="66"/>
      <c r="AF10" s="68"/>
    </row>
    <row r="11" spans="2:32" ht="13.5" thickBot="1">
      <c r="B11" s="65"/>
      <c r="C11" s="66"/>
      <c r="E11" s="68"/>
      <c r="F11" s="102"/>
      <c r="G11" s="102"/>
      <c r="H11" s="102"/>
      <c r="I11" s="103"/>
      <c r="J11" s="102"/>
      <c r="K11" s="104"/>
      <c r="L11" s="103"/>
      <c r="M11" s="102"/>
      <c r="N11" s="104"/>
      <c r="O11" s="103"/>
      <c r="P11" s="102"/>
      <c r="Q11" s="104"/>
      <c r="R11" s="103"/>
      <c r="S11" s="102"/>
      <c r="T11" s="104"/>
      <c r="U11" s="103"/>
      <c r="V11" s="102"/>
      <c r="W11" s="104"/>
      <c r="X11" s="103"/>
      <c r="Y11" s="102"/>
      <c r="Z11" s="104"/>
      <c r="AA11" s="103"/>
      <c r="AB11" s="102"/>
      <c r="AC11" s="104"/>
      <c r="AD11" s="103"/>
      <c r="AE11" s="102"/>
      <c r="AF11" s="104"/>
    </row>
    <row r="12" spans="1:34" ht="13.5" thickTop="1">
      <c r="A12" s="39" t="s">
        <v>493</v>
      </c>
      <c r="B12" s="71">
        <f>SUM(B5:B11)</f>
        <v>236.4</v>
      </c>
      <c r="C12" s="66">
        <f>SUM(C5:C11)</f>
        <v>251.93</v>
      </c>
      <c r="D12">
        <f>C12-B12</f>
        <v>15.530000000000001</v>
      </c>
      <c r="E12" s="68">
        <f>D12/B12</f>
        <v>0.0656937394247039</v>
      </c>
      <c r="F12">
        <f>SUM(F5:F11)</f>
        <v>264.54</v>
      </c>
      <c r="G12" s="67">
        <f>F12-C12</f>
        <v>12.610000000000014</v>
      </c>
      <c r="H12" s="68">
        <f>G12/C12</f>
        <v>0.05005358631365861</v>
      </c>
      <c r="I12" s="66">
        <f>SUM(I5:I11)</f>
        <v>265.34</v>
      </c>
      <c r="J12">
        <f>I12-F12</f>
        <v>0.7999999999999545</v>
      </c>
      <c r="K12" s="68">
        <f>J12/F12</f>
        <v>0.003024117335752455</v>
      </c>
      <c r="L12" s="66">
        <f>SUM(L5:L11)</f>
        <v>283.2</v>
      </c>
      <c r="M12">
        <f>L12-I12</f>
        <v>17.860000000000014</v>
      </c>
      <c r="N12" s="68">
        <f>M12/I12</f>
        <v>0.06730986658626674</v>
      </c>
      <c r="O12" s="66">
        <f>SUM(O5:O11)</f>
        <v>339.56</v>
      </c>
      <c r="P12">
        <f>O12-L12</f>
        <v>56.360000000000014</v>
      </c>
      <c r="Q12" s="68">
        <f>P12/L12</f>
        <v>0.1990112994350283</v>
      </c>
      <c r="R12" s="66">
        <f>SUM(R5:R11)</f>
        <v>369.78</v>
      </c>
      <c r="S12">
        <f>R12-O12</f>
        <v>30.21999999999997</v>
      </c>
      <c r="T12" s="68">
        <f>S12/O12</f>
        <v>0.08899752621038982</v>
      </c>
      <c r="U12" s="70">
        <f>SUM(U5:U11)</f>
        <v>382.86</v>
      </c>
      <c r="V12" s="67">
        <f>U12-R12</f>
        <v>13.080000000000041</v>
      </c>
      <c r="W12" s="68">
        <f>V12/R12</f>
        <v>0.035372383579425716</v>
      </c>
      <c r="X12" s="70">
        <f>SUM(X5:X11)</f>
        <v>380.11</v>
      </c>
      <c r="Y12" s="67">
        <f>X12-U12</f>
        <v>-2.75</v>
      </c>
      <c r="Z12" s="68">
        <f>Y12/U12</f>
        <v>-0.007182782218043149</v>
      </c>
      <c r="AA12" s="70">
        <f>SUM(AA5:AA11)</f>
        <v>413.28999999999996</v>
      </c>
      <c r="AB12" s="67">
        <f>AA12-X12</f>
        <v>33.17999999999995</v>
      </c>
      <c r="AC12" s="68">
        <f>AB12/X12</f>
        <v>0.0872905211649258</v>
      </c>
      <c r="AD12" s="70">
        <f>SUM(AD5:AD11)</f>
        <v>445.8759419346547</v>
      </c>
      <c r="AE12" s="67">
        <f>AD12-AA12</f>
        <v>32.58594193465473</v>
      </c>
      <c r="AF12" s="68">
        <f>AE12/AA12</f>
        <v>0.07884522232489227</v>
      </c>
      <c r="AH12">
        <v>125</v>
      </c>
    </row>
    <row r="13" spans="1:11" ht="13.5" thickBot="1">
      <c r="A13" s="39"/>
      <c r="B13" s="71"/>
      <c r="C13" s="66"/>
      <c r="E13" s="68"/>
      <c r="F13" s="6"/>
      <c r="G13" s="67"/>
      <c r="H13" s="68"/>
      <c r="I13" s="66"/>
      <c r="K13" s="68"/>
    </row>
    <row r="14" spans="8:33" ht="13.5" thickBot="1">
      <c r="H14" s="69"/>
      <c r="I14" s="88"/>
      <c r="L14" s="106"/>
      <c r="M14" s="107"/>
      <c r="N14" s="105" t="s">
        <v>722</v>
      </c>
      <c r="O14" s="108"/>
      <c r="P14" s="109">
        <f>12*O12</f>
        <v>4074.7200000000003</v>
      </c>
      <c r="Q14" s="127"/>
      <c r="R14" s="108"/>
      <c r="S14" s="109">
        <f>12*R12</f>
        <v>4437.36</v>
      </c>
      <c r="T14" s="127"/>
      <c r="U14" s="108"/>
      <c r="V14" s="109">
        <f>12*U12</f>
        <v>4594.32</v>
      </c>
      <c r="W14" s="127"/>
      <c r="X14" s="108"/>
      <c r="Y14" s="109">
        <f>12*X12</f>
        <v>4561.32</v>
      </c>
      <c r="Z14" s="127"/>
      <c r="AA14" s="108"/>
      <c r="AB14" s="109">
        <f>12*AA12</f>
        <v>4959.48</v>
      </c>
      <c r="AC14" s="127"/>
      <c r="AD14" s="108"/>
      <c r="AE14" s="109">
        <f>12*AD12</f>
        <v>5350.511303215856</v>
      </c>
      <c r="AF14" s="127"/>
      <c r="AG14">
        <f>U12*12</f>
        <v>4594.32</v>
      </c>
    </row>
    <row r="15" spans="2:25" ht="12.75">
      <c r="B15" s="72"/>
      <c r="C15" s="66"/>
      <c r="F15" s="73"/>
      <c r="I15" s="66"/>
      <c r="Y15" s="36">
        <f>Y14*130</f>
        <v>592971.6</v>
      </c>
    </row>
    <row r="16" spans="1:25" ht="12.75">
      <c r="A16" s="112"/>
      <c r="B16" s="65"/>
      <c r="C16" s="66"/>
      <c r="I16" s="66"/>
      <c r="Y16" s="36">
        <f>V14*130</f>
        <v>597261.6</v>
      </c>
    </row>
    <row r="17" spans="2:35" ht="12.75">
      <c r="B17" s="72"/>
      <c r="C17" s="66"/>
      <c r="I17" s="66"/>
      <c r="AI17" t="s">
        <v>635</v>
      </c>
    </row>
    <row r="18" spans="2:37" ht="12.75">
      <c r="B18" s="72"/>
      <c r="C18" s="66"/>
      <c r="I18" s="66"/>
      <c r="AI18" s="117" t="s">
        <v>633</v>
      </c>
      <c r="AJ18" s="72"/>
      <c r="AK18" s="186">
        <v>0.066</v>
      </c>
    </row>
    <row r="19" spans="1:37" ht="12.75">
      <c r="A19" s="15"/>
      <c r="B19" s="72"/>
      <c r="C19" s="66"/>
      <c r="I19" s="66"/>
      <c r="AI19" s="118" t="s">
        <v>634</v>
      </c>
      <c r="AJ19" s="72"/>
      <c r="AK19" s="186">
        <v>0.05</v>
      </c>
    </row>
    <row r="20" spans="1:37" ht="12.75">
      <c r="A20" s="15"/>
      <c r="B20" s="72"/>
      <c r="C20" s="66"/>
      <c r="F20" s="110"/>
      <c r="I20" s="111"/>
      <c r="AI20" s="118" t="s">
        <v>600</v>
      </c>
      <c r="AJ20" s="72"/>
      <c r="AK20" s="186">
        <v>0.003</v>
      </c>
    </row>
    <row r="21" spans="1:37" ht="12.75">
      <c r="A21" s="15" t="s">
        <v>947</v>
      </c>
      <c r="B21" s="72"/>
      <c r="C21" s="66"/>
      <c r="F21" s="110"/>
      <c r="I21" s="111"/>
      <c r="AI21" s="118" t="s">
        <v>721</v>
      </c>
      <c r="AJ21" s="72"/>
      <c r="AK21" s="186">
        <v>0.067</v>
      </c>
    </row>
    <row r="22" spans="1:37" ht="12.75">
      <c r="A22" s="15"/>
      <c r="B22" s="72"/>
      <c r="C22" s="66"/>
      <c r="D22" t="s">
        <v>577</v>
      </c>
      <c r="F22" s="110"/>
      <c r="G22" t="s">
        <v>578</v>
      </c>
      <c r="I22" s="111"/>
      <c r="J22" t="s">
        <v>593</v>
      </c>
      <c r="K22" t="s">
        <v>595</v>
      </c>
      <c r="M22" t="s">
        <v>689</v>
      </c>
      <c r="N22" t="s">
        <v>595</v>
      </c>
      <c r="P22" t="s">
        <v>723</v>
      </c>
      <c r="Q22" t="s">
        <v>746</v>
      </c>
      <c r="S22" t="s">
        <v>820</v>
      </c>
      <c r="T22" t="s">
        <v>808</v>
      </c>
      <c r="U22" t="s">
        <v>85</v>
      </c>
      <c r="V22" t="s">
        <v>815</v>
      </c>
      <c r="Y22" t="s">
        <v>84</v>
      </c>
      <c r="AI22" s="118" t="s">
        <v>784</v>
      </c>
      <c r="AJ22" s="72"/>
      <c r="AK22" s="187">
        <v>0.1990112994350283</v>
      </c>
    </row>
    <row r="23" spans="1:38" ht="12.75">
      <c r="A23" s="15"/>
      <c r="B23" s="72" t="s">
        <v>487</v>
      </c>
      <c r="C23" s="66" t="s">
        <v>535</v>
      </c>
      <c r="D23" t="s">
        <v>488</v>
      </c>
      <c r="E23" t="s">
        <v>489</v>
      </c>
      <c r="F23" s="110" t="s">
        <v>495</v>
      </c>
      <c r="G23" t="s">
        <v>488</v>
      </c>
      <c r="H23" t="s">
        <v>489</v>
      </c>
      <c r="I23" s="111" t="s">
        <v>594</v>
      </c>
      <c r="J23" t="s">
        <v>488</v>
      </c>
      <c r="K23" t="s">
        <v>489</v>
      </c>
      <c r="L23" t="s">
        <v>724</v>
      </c>
      <c r="M23" t="s">
        <v>488</v>
      </c>
      <c r="N23" t="s">
        <v>489</v>
      </c>
      <c r="O23" t="s">
        <v>747</v>
      </c>
      <c r="P23" t="s">
        <v>488</v>
      </c>
      <c r="Q23" t="s">
        <v>489</v>
      </c>
      <c r="R23" t="s">
        <v>816</v>
      </c>
      <c r="S23" t="s">
        <v>488</v>
      </c>
      <c r="T23" t="s">
        <v>489</v>
      </c>
      <c r="U23" t="s">
        <v>817</v>
      </c>
      <c r="V23" t="s">
        <v>488</v>
      </c>
      <c r="W23" t="s">
        <v>489</v>
      </c>
      <c r="X23" t="s">
        <v>817</v>
      </c>
      <c r="Y23" t="s">
        <v>488</v>
      </c>
      <c r="Z23" t="s">
        <v>489</v>
      </c>
      <c r="AI23" s="118" t="s">
        <v>809</v>
      </c>
      <c r="AJ23" s="72"/>
      <c r="AK23" s="187">
        <v>0.08899752621038982</v>
      </c>
      <c r="AL23" t="s">
        <v>82</v>
      </c>
    </row>
    <row r="24" spans="1:38" ht="12.75">
      <c r="A24" s="15"/>
      <c r="B24" s="72"/>
      <c r="C24" s="66"/>
      <c r="F24" s="110"/>
      <c r="I24" s="111"/>
      <c r="AI24" s="118" t="s">
        <v>81</v>
      </c>
      <c r="AJ24" s="72"/>
      <c r="AK24" s="187">
        <v>0.03637577173368942</v>
      </c>
      <c r="AL24" t="s">
        <v>83</v>
      </c>
    </row>
    <row r="25" spans="1:37" ht="12.75">
      <c r="A25" s="15" t="s">
        <v>490</v>
      </c>
      <c r="B25" s="74">
        <v>227.14</v>
      </c>
      <c r="C25" s="66">
        <v>242.43</v>
      </c>
      <c r="D25" s="67">
        <v>15.29</v>
      </c>
      <c r="E25" s="68">
        <v>0.0673153121422912</v>
      </c>
      <c r="F25" s="110">
        <v>254.34</v>
      </c>
      <c r="G25" s="67">
        <v>11.91</v>
      </c>
      <c r="H25" s="68">
        <v>0.04912758321989851</v>
      </c>
      <c r="I25" s="110">
        <v>255.14</v>
      </c>
      <c r="J25" s="67">
        <v>0.799999999999983</v>
      </c>
      <c r="K25" s="68">
        <v>0.003145395926712208</v>
      </c>
      <c r="L25">
        <v>273</v>
      </c>
      <c r="M25">
        <v>17.86</v>
      </c>
      <c r="N25">
        <v>0.07000078388335822</v>
      </c>
      <c r="O25">
        <v>329.36</v>
      </c>
      <c r="P25">
        <v>56.36</v>
      </c>
      <c r="Q25">
        <v>0.2064468864468865</v>
      </c>
      <c r="R25">
        <v>359.58</v>
      </c>
      <c r="S25">
        <v>30.22</v>
      </c>
      <c r="T25">
        <v>0.09175370415350974</v>
      </c>
      <c r="U25">
        <v>372.66</v>
      </c>
      <c r="V25">
        <v>13.08</v>
      </c>
      <c r="W25">
        <v>0.03637577173368942</v>
      </c>
      <c r="X25">
        <v>399.83141772275695</v>
      </c>
      <c r="Y25">
        <v>27.171417722756928</v>
      </c>
      <c r="Z25">
        <v>0.0729120853398726</v>
      </c>
      <c r="AI25" s="118" t="s">
        <v>74</v>
      </c>
      <c r="AK25" s="95">
        <v>-0.007182782218043149</v>
      </c>
    </row>
    <row r="26" spans="1:37" ht="12.75">
      <c r="A26" s="14"/>
      <c r="B26" s="74"/>
      <c r="C26" s="66"/>
      <c r="D26" s="67"/>
      <c r="E26" s="68"/>
      <c r="F26" s="67"/>
      <c r="G26" s="67"/>
      <c r="H26" s="68"/>
      <c r="I26" s="66"/>
      <c r="J26" s="67"/>
      <c r="K26" s="68"/>
      <c r="AI26" s="118" t="s">
        <v>938</v>
      </c>
      <c r="AK26" s="95">
        <v>0.087</v>
      </c>
    </row>
    <row r="27" spans="1:37" ht="12.75">
      <c r="A27" s="14" t="s">
        <v>491</v>
      </c>
      <c r="B27" s="72">
        <v>3.96</v>
      </c>
      <c r="C27" s="66">
        <v>4.2</v>
      </c>
      <c r="D27">
        <v>0.24</v>
      </c>
      <c r="E27">
        <v>0.06060606060606066</v>
      </c>
      <c r="F27">
        <v>4.2</v>
      </c>
      <c r="G27">
        <v>0</v>
      </c>
      <c r="H27">
        <v>0</v>
      </c>
      <c r="I27" s="66">
        <v>4.2</v>
      </c>
      <c r="J27">
        <v>0</v>
      </c>
      <c r="K27">
        <v>0</v>
      </c>
      <c r="L27">
        <v>4.2</v>
      </c>
      <c r="M27">
        <v>0</v>
      </c>
      <c r="N27">
        <v>0</v>
      </c>
      <c r="O27">
        <v>4.2</v>
      </c>
      <c r="P27">
        <v>0</v>
      </c>
      <c r="Q27">
        <v>0</v>
      </c>
      <c r="R27">
        <v>4.2</v>
      </c>
      <c r="S27">
        <v>0</v>
      </c>
      <c r="T27">
        <v>0</v>
      </c>
      <c r="U27">
        <v>4.2</v>
      </c>
      <c r="V27">
        <v>0</v>
      </c>
      <c r="W27">
        <v>0</v>
      </c>
      <c r="X27">
        <v>4.2</v>
      </c>
      <c r="Y27">
        <v>0</v>
      </c>
      <c r="Z27">
        <v>0</v>
      </c>
      <c r="AI27" t="s">
        <v>576</v>
      </c>
      <c r="AJ27" s="74"/>
      <c r="AK27" s="188">
        <f>AVERAGE(AK22:AK26)</f>
        <v>0.0808403630322129</v>
      </c>
    </row>
    <row r="28" spans="6:37" ht="12.75">
      <c r="F28" s="110"/>
      <c r="I28" s="111"/>
      <c r="AI28" s="189"/>
      <c r="AK28" s="190"/>
    </row>
    <row r="29" spans="1:26" ht="12.75">
      <c r="A29" t="s">
        <v>492</v>
      </c>
      <c r="B29">
        <v>5.3</v>
      </c>
      <c r="C29">
        <v>5.3</v>
      </c>
      <c r="D29">
        <v>0</v>
      </c>
      <c r="E29">
        <v>0</v>
      </c>
      <c r="F29" s="110">
        <v>6</v>
      </c>
      <c r="G29">
        <v>0</v>
      </c>
      <c r="H29">
        <v>0</v>
      </c>
      <c r="I29" s="111">
        <v>6</v>
      </c>
      <c r="J29">
        <v>0</v>
      </c>
      <c r="K29">
        <v>0</v>
      </c>
      <c r="L29">
        <v>6</v>
      </c>
      <c r="M29">
        <v>0</v>
      </c>
      <c r="N29">
        <v>0</v>
      </c>
      <c r="O29">
        <v>6</v>
      </c>
      <c r="P29">
        <v>0</v>
      </c>
      <c r="Q29">
        <v>0</v>
      </c>
      <c r="R29">
        <v>6</v>
      </c>
      <c r="S29">
        <v>0</v>
      </c>
      <c r="T29">
        <v>0</v>
      </c>
      <c r="U29">
        <v>6</v>
      </c>
      <c r="V29">
        <v>0</v>
      </c>
      <c r="W29">
        <v>0</v>
      </c>
      <c r="X29">
        <v>6</v>
      </c>
      <c r="Y29">
        <v>0</v>
      </c>
      <c r="Z29">
        <v>0</v>
      </c>
    </row>
    <row r="30" spans="6:9" ht="12.75">
      <c r="F30" s="110"/>
      <c r="I30" s="111"/>
    </row>
    <row r="31" spans="4:10" ht="12.75">
      <c r="D31" s="67"/>
      <c r="E31" s="68"/>
      <c r="F31" s="67"/>
      <c r="G31" s="67"/>
      <c r="H31" s="68"/>
      <c r="I31" s="110"/>
      <c r="J31" s="67"/>
    </row>
    <row r="32" spans="1:26" ht="12.75">
      <c r="A32" t="s">
        <v>493</v>
      </c>
      <c r="B32">
        <v>236.4</v>
      </c>
      <c r="C32">
        <v>251.93</v>
      </c>
      <c r="D32" s="67">
        <v>15.53</v>
      </c>
      <c r="E32" s="68">
        <v>0.0656937394247039</v>
      </c>
      <c r="F32">
        <v>264.54</v>
      </c>
      <c r="G32" s="67">
        <v>12.61</v>
      </c>
      <c r="H32" s="68">
        <v>0.05005358631365861</v>
      </c>
      <c r="I32" s="110">
        <v>265.34</v>
      </c>
      <c r="J32" s="67">
        <v>0.7999999999999545</v>
      </c>
      <c r="K32" s="68">
        <v>0.003024117335752455</v>
      </c>
      <c r="L32">
        <v>283.2</v>
      </c>
      <c r="M32">
        <v>17.86</v>
      </c>
      <c r="N32">
        <v>0.06730986658626674</v>
      </c>
      <c r="O32">
        <v>339.56</v>
      </c>
      <c r="P32">
        <v>56.36</v>
      </c>
      <c r="Q32">
        <v>0.1990112994350283</v>
      </c>
      <c r="R32">
        <v>369.78</v>
      </c>
      <c r="S32">
        <v>30.22</v>
      </c>
      <c r="T32">
        <v>0.08899752621038982</v>
      </c>
      <c r="U32">
        <v>382.86</v>
      </c>
      <c r="V32">
        <v>13.08</v>
      </c>
      <c r="W32">
        <v>0.035372383579425716</v>
      </c>
      <c r="X32">
        <v>410.03141772275694</v>
      </c>
      <c r="Y32">
        <v>27.171417722756928</v>
      </c>
      <c r="Z32">
        <v>0.07096959129383307</v>
      </c>
    </row>
    <row r="33" spans="2:10" ht="12.75">
      <c r="B33" s="65"/>
      <c r="D33" s="67"/>
      <c r="G33" s="67"/>
      <c r="J33" s="67"/>
    </row>
    <row r="34" spans="1:25" ht="12.75">
      <c r="A34" s="14"/>
      <c r="B34" s="65"/>
      <c r="D34" s="67"/>
      <c r="G34" s="67"/>
      <c r="J34" s="67"/>
      <c r="N34" t="s">
        <v>722</v>
      </c>
      <c r="P34">
        <v>4074.72</v>
      </c>
      <c r="S34">
        <v>4437.36</v>
      </c>
      <c r="V34" s="11">
        <v>4594.32</v>
      </c>
      <c r="Y34" s="11">
        <v>4920.377012673083</v>
      </c>
    </row>
    <row r="35" spans="1:11" ht="12.75">
      <c r="A35" s="15"/>
      <c r="B35" s="65"/>
      <c r="D35" s="67"/>
      <c r="E35" s="68"/>
      <c r="G35" s="67"/>
      <c r="H35" s="68"/>
      <c r="J35" s="67"/>
      <c r="K35" s="68"/>
    </row>
    <row r="36" spans="1:25" ht="12.75">
      <c r="A36" s="15" t="s">
        <v>948</v>
      </c>
      <c r="B36" s="65"/>
      <c r="D36" s="67"/>
      <c r="E36" s="68"/>
      <c r="F36" s="67"/>
      <c r="G36" s="67"/>
      <c r="H36" s="68"/>
      <c r="J36" s="67"/>
      <c r="K36" s="68"/>
      <c r="V36" t="s">
        <v>946</v>
      </c>
      <c r="Y36" s="30">
        <f>Y34*130</f>
        <v>639649.0116475008</v>
      </c>
    </row>
    <row r="37" spans="1:25" ht="12.75">
      <c r="A37" t="s">
        <v>949</v>
      </c>
      <c r="B37" s="65"/>
      <c r="G37" s="30"/>
      <c r="Y37" s="30">
        <f>Y14*130</f>
        <v>592971.6</v>
      </c>
    </row>
    <row r="38" ht="12.75">
      <c r="Y38" s="11">
        <f>Y36-Y37</f>
        <v>46677.41164750082</v>
      </c>
    </row>
  </sheetData>
  <printOptions gridLines="1"/>
  <pageMargins left="0.25" right="0.25" top="1" bottom="0.55" header="0.5" footer="0.25"/>
  <pageSetup fitToHeight="1" fitToWidth="1" horizontalDpi="300" verticalDpi="300" orientation="landscape" scale="70" r:id="rId2"/>
  <headerFooter alignWithMargins="0">
    <oddFooter>&amp;L&amp;F
&amp;A&amp;CPage &amp;P of &amp;N&amp;R&amp;D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V78"/>
  <sheetViews>
    <sheetView zoomScale="75" zoomScaleNormal="75" workbookViewId="0" topLeftCell="A2">
      <selection activeCell="M10" sqref="M1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6.421875" style="0" hidden="1" customWidth="1"/>
    <col min="6" max="6" width="8.8515625" style="0" hidden="1" customWidth="1"/>
    <col min="7" max="8" width="8.140625" style="0" hidden="1" customWidth="1"/>
    <col min="9" max="13" width="8.140625" style="0" customWidth="1"/>
    <col min="14" max="15" width="8.140625" style="0" bestFit="1" customWidth="1"/>
    <col min="16" max="16" width="8.7109375" style="0" customWidth="1"/>
    <col min="17" max="17" width="9.28125" style="0" bestFit="1" customWidth="1"/>
    <col min="18" max="18" width="10.140625" style="0" customWidth="1"/>
    <col min="19" max="19" width="8.140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0" ht="12.75">
      <c r="A3" s="6" t="s">
        <v>454</v>
      </c>
      <c r="N3" s="56">
        <v>6</v>
      </c>
      <c r="T3" s="1" t="s">
        <v>434</v>
      </c>
    </row>
    <row r="4" spans="3:20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430</v>
      </c>
      <c r="O4" s="9"/>
      <c r="P4" s="1"/>
      <c r="Q4" s="3" t="s">
        <v>114</v>
      </c>
      <c r="R4" s="3" t="s">
        <v>598</v>
      </c>
      <c r="S4" s="3" t="s">
        <v>599</v>
      </c>
      <c r="T4" s="1" t="s">
        <v>435</v>
      </c>
    </row>
    <row r="5" spans="3:20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9" t="s">
        <v>455</v>
      </c>
      <c r="P5" s="1" t="s">
        <v>350</v>
      </c>
      <c r="Q5" s="3" t="s">
        <v>115</v>
      </c>
      <c r="R5" s="3" t="s">
        <v>116</v>
      </c>
      <c r="S5" s="3" t="s">
        <v>117</v>
      </c>
      <c r="T5" s="1" t="s">
        <v>423</v>
      </c>
    </row>
    <row r="6" spans="1:21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23">
        <v>2010</v>
      </c>
      <c r="O6" s="23">
        <v>2010</v>
      </c>
      <c r="P6" s="23">
        <v>2010</v>
      </c>
      <c r="Q6" s="23">
        <v>2011</v>
      </c>
      <c r="R6" s="23">
        <v>2011</v>
      </c>
      <c r="S6" s="23">
        <v>2011</v>
      </c>
      <c r="T6" s="151"/>
      <c r="U6" s="3" t="s">
        <v>118</v>
      </c>
    </row>
    <row r="7" spans="1:21" ht="12.75">
      <c r="A7" s="22" t="s">
        <v>682</v>
      </c>
      <c r="B7" s="4">
        <v>51.112</v>
      </c>
      <c r="C7" s="2">
        <v>3900</v>
      </c>
      <c r="D7" s="2">
        <v>975</v>
      </c>
      <c r="E7" s="2"/>
      <c r="F7" s="2">
        <v>51000</v>
      </c>
      <c r="G7" s="2">
        <v>51000</v>
      </c>
      <c r="H7" s="2">
        <v>52962</v>
      </c>
      <c r="I7" s="2">
        <v>51000</v>
      </c>
      <c r="J7" s="2">
        <v>51000</v>
      </c>
      <c r="K7" s="2">
        <v>51000</v>
      </c>
      <c r="L7" s="2">
        <v>50608</v>
      </c>
      <c r="M7" s="2">
        <v>13731</v>
      </c>
      <c r="N7" s="2"/>
      <c r="O7" s="2"/>
      <c r="P7" s="2">
        <v>0</v>
      </c>
      <c r="Q7" s="2">
        <v>0</v>
      </c>
      <c r="R7" s="2">
        <v>0</v>
      </c>
      <c r="S7" s="2"/>
      <c r="T7" s="89" t="e">
        <f>(S7-P7)/P7</f>
        <v>#DIV/0!</v>
      </c>
      <c r="U7" t="s">
        <v>87</v>
      </c>
    </row>
    <row r="8" spans="1:21" ht="12.75">
      <c r="A8" t="s">
        <v>490</v>
      </c>
      <c r="B8" s="4">
        <v>51.21</v>
      </c>
      <c r="C8" s="2"/>
      <c r="D8" s="2"/>
      <c r="E8" s="2"/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4331</v>
      </c>
      <c r="M8" s="2">
        <v>1109</v>
      </c>
      <c r="N8" s="2"/>
      <c r="O8" s="2"/>
      <c r="P8" s="2">
        <v>0</v>
      </c>
      <c r="Q8" s="31">
        <v>0</v>
      </c>
      <c r="R8" s="31">
        <v>0</v>
      </c>
      <c r="S8" s="2"/>
      <c r="T8" s="89" t="e">
        <f>(S8-P8)/P8</f>
        <v>#DIV/0!</v>
      </c>
      <c r="U8" t="s">
        <v>774</v>
      </c>
    </row>
    <row r="9" spans="1:20" ht="12.75">
      <c r="A9" t="s">
        <v>141</v>
      </c>
      <c r="B9" s="4">
        <v>51.22</v>
      </c>
      <c r="C9" s="2"/>
      <c r="D9" s="2"/>
      <c r="E9" s="2"/>
      <c r="F9" s="2">
        <v>3902</v>
      </c>
      <c r="G9" s="2">
        <v>3902</v>
      </c>
      <c r="H9" s="2">
        <v>4052</v>
      </c>
      <c r="I9" s="2">
        <v>3902</v>
      </c>
      <c r="J9" s="2">
        <v>3902</v>
      </c>
      <c r="K9" s="2">
        <v>3902</v>
      </c>
      <c r="L9" s="2">
        <v>3872</v>
      </c>
      <c r="M9" s="2">
        <v>1050</v>
      </c>
      <c r="N9" s="2"/>
      <c r="O9" s="2"/>
      <c r="P9" s="2">
        <v>0</v>
      </c>
      <c r="Q9" s="2"/>
      <c r="R9" s="2"/>
      <c r="S9" s="2"/>
      <c r="T9" s="89" t="e">
        <f>(S9-P9)/P9</f>
        <v>#DIV/0!</v>
      </c>
    </row>
    <row r="10" spans="1:21" ht="12.75">
      <c r="A10" t="s">
        <v>707</v>
      </c>
      <c r="B10" s="4">
        <v>52.13</v>
      </c>
      <c r="C10" s="5"/>
      <c r="D10" s="5"/>
      <c r="E10" s="5"/>
      <c r="F10" s="2">
        <v>1830</v>
      </c>
      <c r="G10" s="2">
        <v>4271</v>
      </c>
      <c r="H10" s="2">
        <v>2518</v>
      </c>
      <c r="I10" s="2">
        <v>1536</v>
      </c>
      <c r="J10" s="2">
        <v>4493</v>
      </c>
      <c r="K10" s="2"/>
      <c r="L10" s="2"/>
      <c r="M10" s="2"/>
      <c r="N10" s="2"/>
      <c r="O10" s="2"/>
      <c r="P10" s="2">
        <v>0</v>
      </c>
      <c r="Q10" s="2"/>
      <c r="R10" s="2"/>
      <c r="S10" s="2"/>
      <c r="T10" s="89" t="e">
        <f>(S10-P10)/P10</f>
        <v>#DIV/0!</v>
      </c>
      <c r="U10" s="33" t="s">
        <v>372</v>
      </c>
    </row>
    <row r="11" spans="1:21" ht="12.75">
      <c r="A11" t="s">
        <v>144</v>
      </c>
      <c r="B11" s="4">
        <v>52.321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/>
      <c r="O11" s="2"/>
      <c r="P11" s="2"/>
      <c r="Q11" s="2"/>
      <c r="R11" s="2"/>
      <c r="S11" s="2"/>
      <c r="T11" s="89"/>
      <c r="U11" s="2"/>
    </row>
    <row r="12" spans="1:20" ht="12.75">
      <c r="A12" t="s">
        <v>263</v>
      </c>
      <c r="B12" s="4">
        <v>53.171</v>
      </c>
      <c r="C12" s="5"/>
      <c r="D12" s="5"/>
      <c r="E12" s="5"/>
      <c r="F12" s="5"/>
      <c r="G12" s="2">
        <v>34</v>
      </c>
      <c r="H12" s="2"/>
      <c r="I12" s="2">
        <v>170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51"/>
    </row>
    <row r="13" spans="2:20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1"/>
    </row>
    <row r="14" spans="1:20" ht="12.75">
      <c r="A14" s="6" t="s">
        <v>119</v>
      </c>
      <c r="B14" s="6"/>
      <c r="C14" s="7">
        <f>SUM(C7:C9)</f>
        <v>3900</v>
      </c>
      <c r="D14" s="8">
        <f>SUM(D7:D9)</f>
        <v>975</v>
      </c>
      <c r="E14" s="8"/>
      <c r="F14" s="8">
        <f>SUM(F7:F13)</f>
        <v>59572</v>
      </c>
      <c r="G14" s="8">
        <f>SUM(G7:G13)</f>
        <v>62230</v>
      </c>
      <c r="H14" s="8">
        <f>SUM(H7:H13)</f>
        <v>62693</v>
      </c>
      <c r="I14" s="8">
        <f>SUM(I7:I13)</f>
        <v>59792</v>
      </c>
      <c r="J14" s="8">
        <v>63215</v>
      </c>
      <c r="K14" s="8">
        <f aca="true" t="shared" si="0" ref="K14:S14">SUM(K7:K12)</f>
        <v>58913</v>
      </c>
      <c r="L14" s="8">
        <v>58810</v>
      </c>
      <c r="M14" s="8">
        <f t="shared" si="0"/>
        <v>15890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52" t="e">
        <f>(S14-P14)/P14</f>
        <v>#DIV/0!</v>
      </c>
    </row>
    <row r="15" ht="12.75">
      <c r="T15" s="51"/>
    </row>
    <row r="16" spans="16:20" ht="12.75">
      <c r="P16" s="22" t="s">
        <v>484</v>
      </c>
      <c r="Q16" s="22"/>
      <c r="R16" s="55">
        <f>Q14-R14</f>
        <v>0</v>
      </c>
      <c r="T16" s="51"/>
    </row>
    <row r="17" spans="16:22" ht="12.75">
      <c r="P17" s="22" t="s">
        <v>725</v>
      </c>
      <c r="Q17" s="22"/>
      <c r="R17" s="55">
        <f>P14-R14</f>
        <v>0</v>
      </c>
      <c r="T17" s="51"/>
      <c r="V17" t="s">
        <v>649</v>
      </c>
    </row>
    <row r="18" spans="16:20" ht="12.75">
      <c r="P18" s="22" t="s">
        <v>432</v>
      </c>
      <c r="Q18" s="22"/>
      <c r="R18" s="55">
        <f>R14-S14</f>
        <v>0</v>
      </c>
      <c r="T18" s="51"/>
    </row>
    <row r="19" ht="12.75">
      <c r="T19" s="51"/>
    </row>
    <row r="20" spans="1:20" ht="12.75">
      <c r="A20" s="6" t="s">
        <v>911</v>
      </c>
      <c r="T20" s="51"/>
    </row>
    <row r="21" ht="12.75">
      <c r="T21" s="51"/>
    </row>
    <row r="22" spans="1:20" ht="12.75">
      <c r="A22" t="s">
        <v>65</v>
      </c>
      <c r="T22" s="51"/>
    </row>
    <row r="23" spans="1:20" ht="12.75">
      <c r="A23" t="s">
        <v>912</v>
      </c>
      <c r="T23" s="51"/>
    </row>
    <row r="24" ht="12.75">
      <c r="T24" s="51"/>
    </row>
    <row r="25" spans="1:20" ht="12.75">
      <c r="A25" t="s">
        <v>89</v>
      </c>
      <c r="T25" s="51"/>
    </row>
    <row r="26" spans="1:20" ht="12.75">
      <c r="A26" t="s">
        <v>86</v>
      </c>
      <c r="B26" t="s">
        <v>88</v>
      </c>
      <c r="T26" s="51"/>
    </row>
    <row r="27" spans="2:20" ht="12.75">
      <c r="B27" t="s">
        <v>90</v>
      </c>
      <c r="T27" s="51"/>
    </row>
    <row r="28" ht="12.75">
      <c r="T28" s="51"/>
    </row>
    <row r="29" spans="1:20" ht="12.75">
      <c r="A29" t="s">
        <v>92</v>
      </c>
      <c r="T29" s="51"/>
    </row>
    <row r="30" ht="12.75">
      <c r="T30" s="51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U78"/>
  <sheetViews>
    <sheetView zoomScale="75" zoomScaleNormal="75" workbookViewId="0" topLeftCell="A1">
      <selection activeCell="R57" sqref="R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9.7109375" style="0" hidden="1" customWidth="1"/>
    <col min="6" max="8" width="6.421875" style="0" hidden="1" customWidth="1"/>
    <col min="9" max="12" width="6.421875" style="0" customWidth="1"/>
    <col min="13" max="13" width="6.8515625" style="0" bestFit="1" customWidth="1"/>
    <col min="14" max="14" width="7.57421875" style="0" bestFit="1" customWidth="1"/>
    <col min="15" max="15" width="9.42187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109</v>
      </c>
    </row>
    <row r="2" ht="12.75">
      <c r="A2" t="s">
        <v>110</v>
      </c>
    </row>
    <row r="3" spans="1:19" ht="12.75">
      <c r="A3" s="6" t="s">
        <v>660</v>
      </c>
      <c r="M3" s="56">
        <v>6</v>
      </c>
      <c r="N3" s="9"/>
      <c r="S3" s="1" t="s">
        <v>434</v>
      </c>
    </row>
    <row r="4" spans="3:19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9" t="s">
        <v>430</v>
      </c>
      <c r="N4" s="9"/>
      <c r="O4" s="1"/>
      <c r="P4" s="3" t="s">
        <v>114</v>
      </c>
      <c r="Q4" s="3" t="s">
        <v>598</v>
      </c>
      <c r="R4" s="3" t="s">
        <v>599</v>
      </c>
      <c r="S4" s="1" t="s">
        <v>435</v>
      </c>
    </row>
    <row r="5" spans="3:19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455</v>
      </c>
      <c r="O5" s="1" t="s">
        <v>350</v>
      </c>
      <c r="P5" s="3" t="s">
        <v>115</v>
      </c>
      <c r="Q5" s="3" t="s">
        <v>116</v>
      </c>
      <c r="R5" s="3" t="s">
        <v>117</v>
      </c>
      <c r="S5" s="1" t="s">
        <v>423</v>
      </c>
    </row>
    <row r="6" spans="1:20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51" t="s">
        <v>74</v>
      </c>
      <c r="T6" s="57" t="s">
        <v>118</v>
      </c>
    </row>
    <row r="7" spans="1:19" ht="12.75">
      <c r="A7" t="s">
        <v>661</v>
      </c>
      <c r="B7" s="4">
        <v>52.1263</v>
      </c>
      <c r="C7" s="2"/>
      <c r="D7" s="2"/>
      <c r="E7" s="2">
        <v>4539</v>
      </c>
      <c r="F7" s="2">
        <v>6051</v>
      </c>
      <c r="G7" s="2">
        <v>6050</v>
      </c>
      <c r="H7" s="2">
        <v>4538</v>
      </c>
      <c r="I7" s="2">
        <v>4538</v>
      </c>
      <c r="J7" s="2">
        <v>6050</v>
      </c>
      <c r="K7" s="2">
        <v>6050</v>
      </c>
      <c r="L7" s="2"/>
      <c r="M7" s="2"/>
      <c r="N7" s="2"/>
      <c r="O7" s="2"/>
      <c r="P7" s="2"/>
      <c r="Q7" s="2">
        <v>0</v>
      </c>
      <c r="R7" s="2">
        <v>0</v>
      </c>
      <c r="S7" s="89" t="e">
        <f>(R7-O7)/O7</f>
        <v>#DIV/0!</v>
      </c>
    </row>
    <row r="8" ht="12.75">
      <c r="S8" s="51"/>
    </row>
    <row r="9" ht="12.75">
      <c r="S9" s="51"/>
    </row>
    <row r="10" spans="1:19" ht="12.75">
      <c r="A10" s="6" t="s">
        <v>119</v>
      </c>
      <c r="B10" s="6"/>
      <c r="C10" s="7">
        <f aca="true" t="shared" si="0" ref="C10:I10">SUM(C7:C9)</f>
        <v>0</v>
      </c>
      <c r="D10" s="8">
        <f t="shared" si="0"/>
        <v>0</v>
      </c>
      <c r="E10" s="8">
        <f t="shared" si="0"/>
        <v>4539</v>
      </c>
      <c r="F10" s="8">
        <f t="shared" si="0"/>
        <v>6051</v>
      </c>
      <c r="G10" s="8">
        <f t="shared" si="0"/>
        <v>6050</v>
      </c>
      <c r="H10" s="8">
        <f t="shared" si="0"/>
        <v>4538</v>
      </c>
      <c r="I10" s="8">
        <f t="shared" si="0"/>
        <v>4538</v>
      </c>
      <c r="J10" s="8">
        <v>6050</v>
      </c>
      <c r="K10" s="8">
        <f aca="true" t="shared" si="1" ref="K10:R10">SUM(K7:K9)</f>
        <v>6050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93" t="e">
        <f>(R10-O10)/O10</f>
        <v>#DIV/0!</v>
      </c>
    </row>
    <row r="11" ht="12.75">
      <c r="S11" s="51"/>
    </row>
    <row r="12" spans="1:19" ht="12.75">
      <c r="A12" t="s">
        <v>411</v>
      </c>
      <c r="O12" s="22" t="s">
        <v>484</v>
      </c>
      <c r="P12" s="22"/>
      <c r="Q12" s="55">
        <f>P10-Q10</f>
        <v>0</v>
      </c>
      <c r="S12" s="51"/>
    </row>
    <row r="13" spans="15:19" ht="12.75">
      <c r="O13" s="22" t="s">
        <v>725</v>
      </c>
      <c r="P13" s="22"/>
      <c r="Q13" s="55">
        <f>O10-Q10</f>
        <v>0</v>
      </c>
      <c r="S13" s="51"/>
    </row>
    <row r="14" spans="15:19" ht="12.75">
      <c r="O14" s="22" t="s">
        <v>432</v>
      </c>
      <c r="P14" s="22"/>
      <c r="Q14" s="55">
        <f>Q10-R10</f>
        <v>0</v>
      </c>
      <c r="S14" s="51"/>
    </row>
    <row r="15" ht="12.75">
      <c r="S15" s="51"/>
    </row>
    <row r="16" spans="1:19" ht="12.75">
      <c r="A16" s="6" t="s">
        <v>58</v>
      </c>
      <c r="S16" s="51"/>
    </row>
    <row r="17" ht="12.75">
      <c r="S17" s="51"/>
    </row>
    <row r="18" ht="12.75">
      <c r="S18" s="51"/>
    </row>
    <row r="19" ht="12.75">
      <c r="S19" s="51"/>
    </row>
    <row r="20" spans="19:21" ht="12.75">
      <c r="S20" s="51"/>
      <c r="U20" t="s">
        <v>649</v>
      </c>
    </row>
    <row r="21" ht="12.75">
      <c r="S21" s="51"/>
    </row>
    <row r="22" ht="12.75">
      <c r="S22" s="51"/>
    </row>
    <row r="23" ht="12.75">
      <c r="S23" s="51"/>
    </row>
    <row r="24" ht="12.75">
      <c r="S24" s="51"/>
    </row>
    <row r="25" ht="12.75">
      <c r="S25" s="51"/>
    </row>
    <row r="26" ht="12.75">
      <c r="S26" s="51"/>
    </row>
    <row r="27" ht="12.75">
      <c r="S27" s="51"/>
    </row>
    <row r="28" ht="12.75">
      <c r="S28" s="51"/>
    </row>
    <row r="29" ht="12.75">
      <c r="S29" s="51"/>
    </row>
    <row r="30" ht="12.75">
      <c r="S30" s="51"/>
    </row>
    <row r="45" spans="3:18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U72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4" width="8.7109375" style="0" hidden="1" customWidth="1"/>
    <col min="5" max="5" width="8.00390625" style="0" hidden="1" customWidth="1"/>
    <col min="6" max="6" width="8.7109375" style="0" hidden="1" customWidth="1"/>
    <col min="7" max="9" width="9.421875" style="0" hidden="1" customWidth="1"/>
    <col min="10" max="12" width="9.421875" style="0" customWidth="1"/>
    <col min="13" max="13" width="10.00390625" style="0" customWidth="1"/>
    <col min="15" max="15" width="11.7109375" style="0" customWidth="1"/>
    <col min="17" max="17" width="10.7109375" style="0" bestFit="1" customWidth="1"/>
    <col min="18" max="18" width="8.00390625" style="0" bestFit="1" customWidth="1"/>
    <col min="19" max="19" width="9.8515625" style="0" bestFit="1" customWidth="1"/>
    <col min="20" max="20" width="11.7109375" style="0" customWidth="1"/>
  </cols>
  <sheetData>
    <row r="1" spans="1:2" ht="12.75">
      <c r="A1" t="s">
        <v>109</v>
      </c>
      <c r="B1">
        <v>2007</v>
      </c>
    </row>
    <row r="2" ht="12.75">
      <c r="A2" t="s">
        <v>110</v>
      </c>
    </row>
    <row r="3" spans="1:19" ht="12.75">
      <c r="A3" s="6" t="s">
        <v>467</v>
      </c>
      <c r="M3" s="56">
        <v>6</v>
      </c>
      <c r="N3" s="9"/>
      <c r="S3" s="1" t="s">
        <v>434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430</v>
      </c>
      <c r="N4" s="9" t="s">
        <v>453</v>
      </c>
      <c r="O4" s="1" t="s">
        <v>113</v>
      </c>
      <c r="P4" s="3" t="s">
        <v>114</v>
      </c>
      <c r="Q4" s="3" t="s">
        <v>598</v>
      </c>
      <c r="R4" s="3" t="s">
        <v>599</v>
      </c>
      <c r="S4" s="1" t="s">
        <v>435</v>
      </c>
    </row>
    <row r="5" spans="3:19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468</v>
      </c>
      <c r="O5" s="1" t="s">
        <v>112</v>
      </c>
      <c r="P5" s="3" t="s">
        <v>115</v>
      </c>
      <c r="Q5" s="3" t="s">
        <v>116</v>
      </c>
      <c r="R5" s="3" t="s">
        <v>117</v>
      </c>
      <c r="S5" s="1" t="s">
        <v>423</v>
      </c>
    </row>
    <row r="6" spans="1:20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51" t="s">
        <v>74</v>
      </c>
      <c r="T6" s="62" t="s">
        <v>118</v>
      </c>
    </row>
    <row r="7" spans="1:20" ht="12.75">
      <c r="A7" t="s">
        <v>652</v>
      </c>
      <c r="B7" s="4">
        <v>51.11</v>
      </c>
      <c r="C7" s="2">
        <v>57201</v>
      </c>
      <c r="D7" s="2">
        <v>81391</v>
      </c>
      <c r="E7" s="2">
        <v>61702</v>
      </c>
      <c r="F7" s="2">
        <v>100399</v>
      </c>
      <c r="G7" s="2">
        <v>102472</v>
      </c>
      <c r="H7" s="2">
        <v>22268</v>
      </c>
      <c r="I7" s="2">
        <v>18716</v>
      </c>
      <c r="J7" s="2">
        <v>23016</v>
      </c>
      <c r="K7" s="2">
        <v>178</v>
      </c>
      <c r="L7" s="2"/>
      <c r="M7" s="2"/>
      <c r="N7" s="2">
        <f>+M7/$M$3*12</f>
        <v>0</v>
      </c>
      <c r="O7" s="2"/>
      <c r="P7" s="2"/>
      <c r="Q7" s="2"/>
      <c r="R7" s="2"/>
      <c r="S7" s="89" t="e">
        <f>(R7-O7)/O7</f>
        <v>#DIV/0!</v>
      </c>
      <c r="T7" t="s">
        <v>372</v>
      </c>
    </row>
    <row r="8" spans="1:19" ht="12.75">
      <c r="A8" t="s">
        <v>154</v>
      </c>
      <c r="B8" s="4">
        <v>51.13</v>
      </c>
      <c r="C8" s="2">
        <v>22</v>
      </c>
      <c r="D8" s="2"/>
      <c r="H8">
        <v>224</v>
      </c>
      <c r="I8">
        <v>11</v>
      </c>
      <c r="J8">
        <v>16</v>
      </c>
      <c r="M8" s="2"/>
      <c r="N8" s="2">
        <f>+M8/$M$3*12</f>
        <v>0</v>
      </c>
      <c r="O8" s="2"/>
      <c r="P8" s="2"/>
      <c r="Q8" s="2"/>
      <c r="R8" s="2"/>
      <c r="S8" s="89"/>
    </row>
    <row r="9" spans="1:19" ht="12.75">
      <c r="A9" t="s">
        <v>161</v>
      </c>
      <c r="B9" s="4">
        <v>51.21</v>
      </c>
      <c r="C9" s="2">
        <v>2417</v>
      </c>
      <c r="D9" s="2">
        <v>8014</v>
      </c>
      <c r="E9" s="2">
        <v>6535</v>
      </c>
      <c r="F9" s="2">
        <v>8602</v>
      </c>
      <c r="G9" s="2">
        <v>8701</v>
      </c>
      <c r="H9" s="2">
        <v>2350</v>
      </c>
      <c r="I9" s="2">
        <v>1561</v>
      </c>
      <c r="J9" s="2">
        <v>3398</v>
      </c>
      <c r="K9" s="2"/>
      <c r="L9" s="2"/>
      <c r="M9" s="2"/>
      <c r="N9" s="2">
        <f>+M9/$M$3*12</f>
        <v>0</v>
      </c>
      <c r="O9" s="2"/>
      <c r="P9" s="31"/>
      <c r="Q9" s="31"/>
      <c r="R9" s="36"/>
      <c r="S9" s="89" t="e">
        <f>(R9-O9)/O9</f>
        <v>#DIV/0!</v>
      </c>
    </row>
    <row r="10" spans="1:19" ht="12.75">
      <c r="A10" t="s">
        <v>141</v>
      </c>
      <c r="B10" s="4">
        <v>51.22</v>
      </c>
      <c r="C10" s="2">
        <v>4315</v>
      </c>
      <c r="D10" s="2">
        <v>6056</v>
      </c>
      <c r="E10" s="2">
        <v>4684</v>
      </c>
      <c r="F10" s="2">
        <v>7665</v>
      </c>
      <c r="G10" s="2">
        <v>7545</v>
      </c>
      <c r="H10" s="2">
        <v>1660</v>
      </c>
      <c r="I10" s="2">
        <v>1425</v>
      </c>
      <c r="J10" s="2">
        <v>1677</v>
      </c>
      <c r="K10" s="2">
        <v>10</v>
      </c>
      <c r="L10" s="2"/>
      <c r="M10" s="2"/>
      <c r="N10" s="2">
        <f>+M10/$M$3*12</f>
        <v>0</v>
      </c>
      <c r="O10" s="2"/>
      <c r="P10" s="2"/>
      <c r="Q10" s="2"/>
      <c r="R10" s="2"/>
      <c r="S10" s="89" t="e">
        <f>(R10-O10)/O10</f>
        <v>#DIV/0!</v>
      </c>
    </row>
    <row r="11" spans="1:19" ht="12.75">
      <c r="A11" t="s">
        <v>155</v>
      </c>
      <c r="B11" s="4">
        <v>51.24</v>
      </c>
      <c r="C11" s="2">
        <v>136</v>
      </c>
      <c r="D11" s="2">
        <v>301</v>
      </c>
      <c r="E11" s="2">
        <v>427</v>
      </c>
      <c r="F11" s="2">
        <v>359</v>
      </c>
      <c r="G11" s="2">
        <v>427</v>
      </c>
      <c r="H11" s="2"/>
      <c r="I11" s="2"/>
      <c r="J11" s="2">
        <v>77</v>
      </c>
      <c r="K11" s="2"/>
      <c r="L11" s="2"/>
      <c r="M11" s="2"/>
      <c r="N11" s="2">
        <f>+M11/$M$3*12</f>
        <v>0</v>
      </c>
      <c r="O11" s="2"/>
      <c r="P11" s="2"/>
      <c r="Q11" s="2"/>
      <c r="R11" s="2"/>
      <c r="S11" s="89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9"/>
    </row>
    <row r="13" spans="1:19" ht="12.75">
      <c r="A13" t="s">
        <v>252</v>
      </c>
      <c r="B13" s="4">
        <v>52.1305</v>
      </c>
      <c r="C13" s="2"/>
      <c r="D13" s="2"/>
      <c r="E13" s="2">
        <v>333</v>
      </c>
      <c r="F13" s="2">
        <v>392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9"/>
    </row>
    <row r="14" spans="1:19" ht="12.75">
      <c r="A14" t="s">
        <v>186</v>
      </c>
      <c r="B14" s="4">
        <v>52.2206</v>
      </c>
      <c r="C14" s="2">
        <v>204</v>
      </c>
      <c r="D14" s="2">
        <v>536</v>
      </c>
      <c r="E14" s="2">
        <v>40</v>
      </c>
      <c r="F14" s="2">
        <v>25</v>
      </c>
      <c r="G14" s="2"/>
      <c r="H14" s="2"/>
      <c r="I14" s="2">
        <v>35</v>
      </c>
      <c r="J14" s="2"/>
      <c r="K14" s="2"/>
      <c r="L14" s="2"/>
      <c r="M14" s="2"/>
      <c r="N14" s="2"/>
      <c r="O14" s="2"/>
      <c r="P14" s="2"/>
      <c r="Q14" s="2"/>
      <c r="R14" s="2"/>
      <c r="S14" s="89"/>
    </row>
    <row r="15" spans="1:19" ht="12.75">
      <c r="A15" t="s">
        <v>143</v>
      </c>
      <c r="B15" s="4">
        <v>52.32</v>
      </c>
      <c r="C15" s="2">
        <v>1028</v>
      </c>
      <c r="D15" s="2">
        <v>687</v>
      </c>
      <c r="E15" s="2">
        <v>753</v>
      </c>
      <c r="F15" s="2">
        <v>1075</v>
      </c>
      <c r="G15" s="2">
        <v>1478</v>
      </c>
      <c r="H15" s="2">
        <v>1069</v>
      </c>
      <c r="I15" s="2">
        <v>638</v>
      </c>
      <c r="J15" s="2">
        <v>646</v>
      </c>
      <c r="K15" s="2"/>
      <c r="L15" s="2"/>
      <c r="M15" s="2"/>
      <c r="N15" s="2">
        <f>+M15/$M$3*12</f>
        <v>0</v>
      </c>
      <c r="O15" s="2"/>
      <c r="P15" s="2"/>
      <c r="Q15" s="2"/>
      <c r="R15" s="2"/>
      <c r="S15" s="89" t="e">
        <f>(R15-O15)/O15</f>
        <v>#DIV/0!</v>
      </c>
    </row>
    <row r="16" spans="1:19" ht="12.75">
      <c r="A16" t="s">
        <v>144</v>
      </c>
      <c r="B16" s="4">
        <v>52.321</v>
      </c>
      <c r="C16" s="2">
        <v>126</v>
      </c>
      <c r="D16" s="2">
        <v>109</v>
      </c>
      <c r="E16" s="2">
        <v>205</v>
      </c>
      <c r="F16" s="2">
        <v>243</v>
      </c>
      <c r="G16" s="2">
        <v>274</v>
      </c>
      <c r="H16" s="2">
        <v>210</v>
      </c>
      <c r="I16" s="2">
        <v>203</v>
      </c>
      <c r="J16" s="2"/>
      <c r="K16" s="2"/>
      <c r="L16" s="2"/>
      <c r="M16" s="2"/>
      <c r="N16" s="2">
        <f>+M16/$M$3*12</f>
        <v>0</v>
      </c>
      <c r="O16" s="2"/>
      <c r="P16" s="2"/>
      <c r="Q16" s="2"/>
      <c r="R16" s="2"/>
      <c r="S16" s="89" t="e">
        <f>(R16-O16)/O16</f>
        <v>#DIV/0!</v>
      </c>
    </row>
    <row r="17" spans="1:19" ht="12.75">
      <c r="A17" t="s">
        <v>156</v>
      </c>
      <c r="B17" s="4">
        <v>52.35</v>
      </c>
      <c r="C17" s="2">
        <v>777</v>
      </c>
      <c r="D17" s="2">
        <v>1169</v>
      </c>
      <c r="E17" s="2"/>
      <c r="F17" s="2">
        <v>540</v>
      </c>
      <c r="G17" s="2">
        <v>21</v>
      </c>
      <c r="H17" s="2">
        <v>41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89"/>
    </row>
    <row r="18" spans="1:19" ht="12.75">
      <c r="A18" t="s">
        <v>146</v>
      </c>
      <c r="B18" s="4">
        <v>52.3602</v>
      </c>
      <c r="C18" s="2">
        <v>196</v>
      </c>
      <c r="D18" s="2">
        <v>335</v>
      </c>
      <c r="E18" s="2"/>
      <c r="F18" s="2">
        <v>305</v>
      </c>
      <c r="G18" s="2">
        <v>420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9"/>
    </row>
    <row r="19" spans="1:19" ht="12.75">
      <c r="A19" t="s">
        <v>157</v>
      </c>
      <c r="B19" s="4">
        <v>52.37</v>
      </c>
      <c r="C19" s="2"/>
      <c r="D19" s="2"/>
      <c r="E19" s="2"/>
      <c r="F19" s="2">
        <v>1230</v>
      </c>
      <c r="G19" s="2">
        <v>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9"/>
    </row>
    <row r="20" spans="2:21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9"/>
      <c r="U20" t="s">
        <v>649</v>
      </c>
    </row>
    <row r="21" spans="1:19" ht="12.75">
      <c r="A21" t="s">
        <v>254</v>
      </c>
      <c r="B21" s="4">
        <v>53.17</v>
      </c>
      <c r="C21" s="2"/>
      <c r="D21" s="2"/>
      <c r="E21" s="2"/>
      <c r="F21" s="2">
        <v>50</v>
      </c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89"/>
    </row>
    <row r="22" spans="1:19" ht="12.75">
      <c r="A22" t="s">
        <v>151</v>
      </c>
      <c r="B22" s="4">
        <v>53.171</v>
      </c>
      <c r="C22" s="2">
        <v>1234</v>
      </c>
      <c r="D22" s="2">
        <v>2877</v>
      </c>
      <c r="E22" s="2">
        <v>2085</v>
      </c>
      <c r="F22" s="2">
        <v>851</v>
      </c>
      <c r="G22" s="2">
        <v>865</v>
      </c>
      <c r="H22" s="2">
        <v>284</v>
      </c>
      <c r="I22" s="2">
        <v>719</v>
      </c>
      <c r="J22" s="2">
        <v>166</v>
      </c>
      <c r="K22" s="2"/>
      <c r="L22" s="2"/>
      <c r="M22" s="2"/>
      <c r="N22" s="2">
        <f>+M22/$M$3*12</f>
        <v>0</v>
      </c>
      <c r="O22" s="2"/>
      <c r="P22" s="2"/>
      <c r="Q22" s="2"/>
      <c r="R22" s="2"/>
      <c r="S22" s="89" t="e">
        <f>(R22-O22)/O22</f>
        <v>#DIV/0!</v>
      </c>
    </row>
    <row r="23" spans="1:19" ht="12.75">
      <c r="A23" t="s">
        <v>239</v>
      </c>
      <c r="B23" s="4">
        <v>53.174</v>
      </c>
      <c r="C23" s="2">
        <v>120</v>
      </c>
      <c r="D23" s="2">
        <v>323</v>
      </c>
      <c r="E23" s="2"/>
      <c r="F23" s="2">
        <v>484</v>
      </c>
      <c r="G23" s="2">
        <v>651</v>
      </c>
      <c r="H23" s="2"/>
      <c r="I23" s="2"/>
      <c r="J23" s="2"/>
      <c r="K23" s="2"/>
      <c r="L23" s="2"/>
      <c r="N23" s="2"/>
      <c r="O23" s="2"/>
      <c r="P23" s="2"/>
      <c r="Q23" s="2"/>
      <c r="R23" s="2"/>
      <c r="S23" s="89"/>
    </row>
    <row r="24" spans="1:20" ht="12.75">
      <c r="A24" t="s">
        <v>189</v>
      </c>
      <c r="B24" s="4">
        <v>53.175</v>
      </c>
      <c r="C24" s="2">
        <v>530</v>
      </c>
      <c r="D24" s="2">
        <v>518</v>
      </c>
      <c r="E24" s="2"/>
      <c r="F24" s="2">
        <v>931</v>
      </c>
      <c r="G24" s="2">
        <v>597</v>
      </c>
      <c r="H24" s="2">
        <v>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89"/>
      <c r="T24" s="10"/>
    </row>
    <row r="25" spans="1:19" ht="12.75">
      <c r="A25" t="s">
        <v>178</v>
      </c>
      <c r="B25" s="4">
        <v>53.176</v>
      </c>
      <c r="C25" s="2">
        <v>33</v>
      </c>
      <c r="D25" s="2">
        <v>82</v>
      </c>
      <c r="E25" s="2"/>
      <c r="F25" s="2">
        <v>77</v>
      </c>
      <c r="G25" s="2">
        <v>75</v>
      </c>
      <c r="H25" s="2">
        <v>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89"/>
    </row>
    <row r="26" spans="1:19" ht="12.75">
      <c r="A26" t="s">
        <v>179</v>
      </c>
      <c r="B26" s="4">
        <v>53.177</v>
      </c>
      <c r="C26" s="2"/>
      <c r="D26" s="2">
        <v>506</v>
      </c>
      <c r="E26" s="2"/>
      <c r="F26" s="2">
        <v>607</v>
      </c>
      <c r="G26" s="2">
        <v>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9"/>
    </row>
    <row r="27" spans="1:19" ht="12.75">
      <c r="A27" t="s">
        <v>192</v>
      </c>
      <c r="B27" s="4">
        <v>53.1778</v>
      </c>
      <c r="C27" s="2"/>
      <c r="D27" s="2"/>
      <c r="E27" s="2"/>
      <c r="F27" s="2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9"/>
    </row>
    <row r="28" spans="1:19" ht="12.75">
      <c r="A28" t="s">
        <v>180</v>
      </c>
      <c r="B28" s="4">
        <v>53.179</v>
      </c>
      <c r="C28" s="2">
        <v>542</v>
      </c>
      <c r="D28" s="2">
        <v>2255</v>
      </c>
      <c r="E28" s="2">
        <v>1565</v>
      </c>
      <c r="F28" s="2">
        <v>1958</v>
      </c>
      <c r="G28" s="2">
        <v>2137</v>
      </c>
      <c r="H28" s="2">
        <v>51</v>
      </c>
      <c r="I28" s="2"/>
      <c r="J28" s="2">
        <v>196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89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9"/>
    </row>
    <row r="30" spans="1:19" ht="12.75">
      <c r="A30" t="s">
        <v>253</v>
      </c>
      <c r="B30" s="4">
        <v>54.12</v>
      </c>
      <c r="C30" s="2"/>
      <c r="D30" s="2"/>
      <c r="E30" s="2">
        <v>5000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9"/>
    </row>
    <row r="31" spans="1:19" ht="12.75">
      <c r="A31" t="s">
        <v>380</v>
      </c>
      <c r="B31" s="4"/>
      <c r="C31" s="2"/>
      <c r="D31" s="2"/>
      <c r="E31" s="2">
        <v>834</v>
      </c>
      <c r="F31" s="2">
        <v>1996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9"/>
    </row>
    <row r="32" spans="1:19" ht="12.75">
      <c r="A32" t="s">
        <v>255</v>
      </c>
      <c r="B32" s="4">
        <v>54.26</v>
      </c>
      <c r="C32" s="5"/>
      <c r="D32" s="2"/>
      <c r="E32" s="2">
        <v>1105</v>
      </c>
      <c r="F32" s="5"/>
      <c r="G32" s="5"/>
      <c r="H32" s="5"/>
      <c r="I32" s="5"/>
      <c r="J32" s="5"/>
      <c r="K32" s="5"/>
      <c r="L32" s="5"/>
      <c r="M32" s="5"/>
      <c r="N32" s="2"/>
      <c r="O32" s="2"/>
      <c r="P32" s="5"/>
      <c r="Q32" s="2"/>
      <c r="R32" s="2"/>
      <c r="S32" s="89"/>
    </row>
    <row r="33" spans="2:19" ht="12.75">
      <c r="B33" s="4"/>
      <c r="C33" s="5"/>
      <c r="D33" s="2"/>
      <c r="E33" s="2"/>
      <c r="F33" s="5"/>
      <c r="G33" s="5"/>
      <c r="H33" s="5"/>
      <c r="I33" s="5"/>
      <c r="J33" s="5"/>
      <c r="K33" s="5"/>
      <c r="L33" s="5"/>
      <c r="M33" s="5"/>
      <c r="N33" s="2"/>
      <c r="O33" s="2"/>
      <c r="P33" s="5"/>
      <c r="Q33" s="2"/>
      <c r="R33" s="2"/>
      <c r="S33" s="89"/>
    </row>
    <row r="34" spans="1:19" ht="12.75">
      <c r="A34" t="s">
        <v>322</v>
      </c>
      <c r="B34" s="4" t="s">
        <v>120</v>
      </c>
      <c r="C34" s="5">
        <v>3397</v>
      </c>
      <c r="D34" s="2">
        <v>1598</v>
      </c>
      <c r="E34" s="2"/>
      <c r="F34" s="5"/>
      <c r="G34" s="5"/>
      <c r="H34" s="5"/>
      <c r="I34" s="5"/>
      <c r="J34" s="5"/>
      <c r="K34" s="5"/>
      <c r="L34" s="5"/>
      <c r="M34" s="5"/>
      <c r="N34" s="2"/>
      <c r="O34" s="5"/>
      <c r="P34" s="5"/>
      <c r="Q34" s="2"/>
      <c r="R34" s="2"/>
      <c r="S34" s="51"/>
    </row>
    <row r="35" spans="1:19" ht="12.75">
      <c r="A35" t="s">
        <v>325</v>
      </c>
      <c r="B35" s="4" t="s">
        <v>120</v>
      </c>
      <c r="C35" s="5"/>
      <c r="D35" s="2">
        <v>6</v>
      </c>
      <c r="E35" s="2"/>
      <c r="F35" s="5"/>
      <c r="G35" s="5"/>
      <c r="H35" s="5"/>
      <c r="I35" s="5"/>
      <c r="J35" s="5"/>
      <c r="K35" s="5"/>
      <c r="L35" s="5"/>
      <c r="M35" s="5"/>
      <c r="N35" s="2"/>
      <c r="O35" s="5"/>
      <c r="P35" s="5"/>
      <c r="Q35" s="2"/>
      <c r="R35" s="2"/>
      <c r="S35" s="51"/>
    </row>
    <row r="36" spans="2:19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5"/>
      <c r="P36" s="5"/>
      <c r="Q36" s="5"/>
      <c r="R36" s="5"/>
      <c r="S36" s="51"/>
    </row>
    <row r="37" spans="1:19" ht="12.75">
      <c r="A37" s="6" t="s">
        <v>119</v>
      </c>
      <c r="B37" s="6"/>
      <c r="C37" s="7">
        <f>SUM(C7:C36)</f>
        <v>72278</v>
      </c>
      <c r="D37" s="8">
        <f>SUM(D7:D36)</f>
        <v>106763</v>
      </c>
      <c r="E37" s="8">
        <f>SUM(E7:E36)</f>
        <v>85268</v>
      </c>
      <c r="F37" s="8">
        <f aca="true" t="shared" si="0" ref="F37:R37">SUM(F7:F36)</f>
        <v>127835</v>
      </c>
      <c r="G37" s="8">
        <f t="shared" si="0"/>
        <v>126831</v>
      </c>
      <c r="H37" s="8">
        <f t="shared" si="0"/>
        <v>28212</v>
      </c>
      <c r="I37" s="8">
        <f t="shared" si="0"/>
        <v>23308</v>
      </c>
      <c r="J37" s="8">
        <v>29170</v>
      </c>
      <c r="K37" s="8">
        <f>SUM(K7:K36)</f>
        <v>188</v>
      </c>
      <c r="L37" s="8">
        <f>SUM(L7:L36)</f>
        <v>0</v>
      </c>
      <c r="M37" s="8">
        <f>SUM(M7:M36)</f>
        <v>0</v>
      </c>
      <c r="N37" s="8">
        <f t="shared" si="0"/>
        <v>0</v>
      </c>
      <c r="O37" s="8">
        <f>SUM(O7:O36)</f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52" t="e">
        <f>(R37-O37)/O37</f>
        <v>#DIV/0!</v>
      </c>
    </row>
    <row r="38" ht="12.75">
      <c r="S38" s="51"/>
    </row>
    <row r="39" spans="1:19" ht="12.75">
      <c r="A39" t="s">
        <v>336</v>
      </c>
      <c r="B39">
        <v>1</v>
      </c>
      <c r="O39" s="22" t="s">
        <v>484</v>
      </c>
      <c r="P39" s="22"/>
      <c r="Q39" s="55">
        <f>P37-Q37</f>
        <v>0</v>
      </c>
      <c r="S39" s="51"/>
    </row>
    <row r="40" spans="15:19" ht="12.75">
      <c r="O40" s="22" t="s">
        <v>725</v>
      </c>
      <c r="P40" s="22"/>
      <c r="Q40" s="55">
        <f>O37-Q37</f>
        <v>0</v>
      </c>
      <c r="S40" s="51"/>
    </row>
    <row r="41" spans="1:19" ht="12.75">
      <c r="A41" s="6"/>
      <c r="O41" s="22" t="s">
        <v>432</v>
      </c>
      <c r="P41" s="22"/>
      <c r="Q41" s="55">
        <f>Q37-R37</f>
        <v>0</v>
      </c>
      <c r="S41" s="51"/>
    </row>
    <row r="42" spans="1:19" ht="12.75">
      <c r="A42" s="6"/>
      <c r="S42" s="51"/>
    </row>
    <row r="43" ht="12.75">
      <c r="S43" s="51"/>
    </row>
    <row r="44" spans="1:19" ht="12.75">
      <c r="A44" s="2" t="s">
        <v>776</v>
      </c>
      <c r="S44" s="51"/>
    </row>
    <row r="45" ht="12.75">
      <c r="A45" s="11"/>
    </row>
    <row r="47" ht="12.75">
      <c r="F47" s="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T2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7" width="11.7109375" style="0" hidden="1" customWidth="1"/>
    <col min="8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8" max="18" width="9.421875" style="0" bestFit="1" customWidth="1"/>
  </cols>
  <sheetData>
    <row r="1" ht="12.75">
      <c r="A1" t="s">
        <v>109</v>
      </c>
    </row>
    <row r="2" ht="12.75">
      <c r="A2" t="s">
        <v>110</v>
      </c>
    </row>
    <row r="3" spans="1:18" ht="12.75">
      <c r="A3" s="6" t="s">
        <v>470</v>
      </c>
      <c r="L3" s="56">
        <v>6</v>
      </c>
      <c r="M3" s="9"/>
      <c r="R3" s="1" t="s">
        <v>434</v>
      </c>
    </row>
    <row r="4" spans="3:18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9" t="s">
        <v>430</v>
      </c>
      <c r="M4" s="9"/>
      <c r="N4" s="1"/>
      <c r="O4" s="3" t="s">
        <v>114</v>
      </c>
      <c r="P4" s="3" t="s">
        <v>598</v>
      </c>
      <c r="Q4" s="3" t="s">
        <v>599</v>
      </c>
      <c r="R4" s="1" t="s">
        <v>435</v>
      </c>
    </row>
    <row r="5" spans="3:18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/>
      <c r="L5" s="1" t="s">
        <v>421</v>
      </c>
      <c r="M5" s="1" t="s">
        <v>455</v>
      </c>
      <c r="N5" s="1" t="s">
        <v>350</v>
      </c>
      <c r="O5" s="3" t="s">
        <v>115</v>
      </c>
      <c r="P5" s="3" t="s">
        <v>116</v>
      </c>
      <c r="Q5" s="3" t="s">
        <v>117</v>
      </c>
      <c r="R5" s="1" t="s">
        <v>423</v>
      </c>
    </row>
    <row r="6" spans="1:18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99"/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802</v>
      </c>
    </row>
    <row r="7" spans="1:18" ht="12.75">
      <c r="A7" t="s">
        <v>673</v>
      </c>
      <c r="B7" s="4">
        <v>51.11</v>
      </c>
      <c r="C7" s="2"/>
      <c r="D7" s="2"/>
      <c r="E7" s="2"/>
      <c r="F7" s="2">
        <v>57922</v>
      </c>
      <c r="G7" s="2">
        <v>70599</v>
      </c>
      <c r="H7" s="2">
        <v>84445</v>
      </c>
      <c r="I7" s="2">
        <v>26042</v>
      </c>
      <c r="J7" s="2"/>
      <c r="K7" s="2"/>
      <c r="L7" s="2"/>
      <c r="M7" s="2"/>
      <c r="N7" s="2"/>
      <c r="O7" s="2"/>
      <c r="P7" s="2"/>
      <c r="Q7" s="2"/>
      <c r="R7" s="89" t="e">
        <f>(Q7-N7)/N7</f>
        <v>#DIV/0!</v>
      </c>
    </row>
    <row r="8" spans="1:18" ht="12.75">
      <c r="A8" t="s">
        <v>154</v>
      </c>
      <c r="B8" s="4">
        <v>51.13</v>
      </c>
      <c r="C8" s="2"/>
      <c r="D8" s="2"/>
      <c r="E8" s="2"/>
      <c r="F8" s="2">
        <v>420</v>
      </c>
      <c r="G8" s="2">
        <v>554</v>
      </c>
      <c r="H8" s="2"/>
      <c r="I8" s="2"/>
      <c r="J8" s="2"/>
      <c r="K8" s="2"/>
      <c r="L8" s="2"/>
      <c r="M8" s="2"/>
      <c r="N8" s="2"/>
      <c r="O8" s="2"/>
      <c r="P8" s="2"/>
      <c r="Q8" s="2"/>
      <c r="R8" s="89"/>
    </row>
    <row r="9" spans="1:18" ht="12.75">
      <c r="A9" t="s">
        <v>216</v>
      </c>
      <c r="B9" s="4">
        <v>51.21</v>
      </c>
      <c r="C9" s="2"/>
      <c r="D9" s="2"/>
      <c r="E9" s="2"/>
      <c r="F9" s="2">
        <v>2840</v>
      </c>
      <c r="G9" s="2">
        <v>1543</v>
      </c>
      <c r="H9" s="2">
        <v>5705</v>
      </c>
      <c r="I9" s="2">
        <v>2638</v>
      </c>
      <c r="J9" s="2"/>
      <c r="K9" s="2"/>
      <c r="L9" s="2"/>
      <c r="M9" s="2"/>
      <c r="N9" s="2"/>
      <c r="O9" s="2"/>
      <c r="P9" s="2"/>
      <c r="Q9" s="2"/>
      <c r="R9" s="89" t="e">
        <f>(Q9-N9)/N9</f>
        <v>#DIV/0!</v>
      </c>
    </row>
    <row r="10" spans="1:18" ht="12.75">
      <c r="A10" t="s">
        <v>141</v>
      </c>
      <c r="B10" s="4">
        <v>51.22</v>
      </c>
      <c r="C10" s="2"/>
      <c r="D10" s="2"/>
      <c r="E10" s="2"/>
      <c r="F10" s="2">
        <v>4463</v>
      </c>
      <c r="G10" s="2">
        <v>5440</v>
      </c>
      <c r="H10" s="2">
        <v>6443</v>
      </c>
      <c r="I10" s="2">
        <v>1985</v>
      </c>
      <c r="J10" s="2"/>
      <c r="K10" s="2"/>
      <c r="L10" s="2"/>
      <c r="M10" s="2"/>
      <c r="N10" s="2"/>
      <c r="O10" s="2"/>
      <c r="P10" s="2"/>
      <c r="Q10" s="2"/>
      <c r="R10" s="89" t="e">
        <f>(Q10-N10)/N10</f>
        <v>#DIV/0!</v>
      </c>
    </row>
    <row r="11" spans="2:18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9"/>
    </row>
    <row r="12" spans="1:18" ht="12.75">
      <c r="A12" t="s">
        <v>562</v>
      </c>
      <c r="B12" s="4">
        <v>53.175</v>
      </c>
      <c r="C12" s="2"/>
      <c r="D12" s="2"/>
      <c r="E12" s="2"/>
      <c r="F12" s="2"/>
      <c r="G12" s="2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89"/>
    </row>
    <row r="13" spans="1:18" ht="12.75">
      <c r="A13" t="s">
        <v>563</v>
      </c>
      <c r="B13" s="4">
        <v>53.176</v>
      </c>
      <c r="C13" s="2"/>
      <c r="D13" s="2"/>
      <c r="E13" s="2"/>
      <c r="F13" s="2"/>
      <c r="G13" s="2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89"/>
    </row>
    <row r="14" spans="1:18" ht="12.75">
      <c r="A14" t="s">
        <v>180</v>
      </c>
      <c r="B14" s="4">
        <v>53.179</v>
      </c>
      <c r="C14" s="2"/>
      <c r="D14" s="2"/>
      <c r="E14" s="2"/>
      <c r="F14" s="2"/>
      <c r="G14" s="2">
        <v>673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89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9"/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9"/>
    </row>
    <row r="17" spans="1:18" ht="12.75">
      <c r="A17" t="s">
        <v>499</v>
      </c>
      <c r="B17" s="4">
        <v>57.218</v>
      </c>
      <c r="C17" s="2"/>
      <c r="D17" s="2"/>
      <c r="E17" s="2"/>
      <c r="F17" s="2">
        <v>48656</v>
      </c>
      <c r="G17" s="2">
        <v>86920</v>
      </c>
      <c r="H17" s="2">
        <v>59401</v>
      </c>
      <c r="I17" s="2">
        <v>17720</v>
      </c>
      <c r="J17" s="2"/>
      <c r="K17" s="2"/>
      <c r="L17" s="2"/>
      <c r="M17" s="2"/>
      <c r="N17" s="2"/>
      <c r="O17" s="2"/>
      <c r="P17" s="2"/>
      <c r="Q17" s="2"/>
      <c r="R17" s="89" t="e">
        <f>(Q17-N17)/N17</f>
        <v>#DIV/0!</v>
      </c>
    </row>
    <row r="19" spans="1:18" ht="12.75">
      <c r="A19" s="21" t="s">
        <v>342</v>
      </c>
      <c r="C19" s="8">
        <f>SUM(C7:C17)</f>
        <v>0</v>
      </c>
      <c r="D19" s="8">
        <f>SUM(D7:D17)</f>
        <v>0</v>
      </c>
      <c r="E19" s="8"/>
      <c r="F19" s="8">
        <f aca="true" t="shared" si="0" ref="F19:M19">SUM(F7:F17)</f>
        <v>114301</v>
      </c>
      <c r="G19" s="8">
        <f t="shared" si="0"/>
        <v>165782</v>
      </c>
      <c r="H19" s="8">
        <f t="shared" si="0"/>
        <v>155994</v>
      </c>
      <c r="I19" s="8">
        <f t="shared" si="0"/>
        <v>48385</v>
      </c>
      <c r="J19" s="8">
        <f t="shared" si="0"/>
        <v>0</v>
      </c>
      <c r="K19" s="8"/>
      <c r="L19" s="8">
        <f t="shared" si="0"/>
        <v>0</v>
      </c>
      <c r="M19" s="8">
        <f t="shared" si="0"/>
        <v>0</v>
      </c>
      <c r="N19" s="8">
        <f>SUM(N7:N18)</f>
        <v>0</v>
      </c>
      <c r="O19" s="8">
        <f>SUM(O7:O18)</f>
        <v>0</v>
      </c>
      <c r="P19" s="8">
        <f>SUM(P7:P18)</f>
        <v>0</v>
      </c>
      <c r="Q19" s="8">
        <f>SUM(Q7:Q18)</f>
        <v>0</v>
      </c>
      <c r="R19" s="52" t="e">
        <f>(Q19-N19)/N19</f>
        <v>#DIV/0!</v>
      </c>
    </row>
    <row r="20" ht="12.75">
      <c r="T20" t="s">
        <v>649</v>
      </c>
    </row>
    <row r="21" spans="1:16" ht="12.75">
      <c r="A21" t="s">
        <v>341</v>
      </c>
      <c r="B21">
        <v>2</v>
      </c>
      <c r="N21" s="22" t="s">
        <v>484</v>
      </c>
      <c r="O21" s="22"/>
      <c r="P21" s="55">
        <f>O19-P19</f>
        <v>0</v>
      </c>
    </row>
    <row r="22" spans="14:16" ht="12.75">
      <c r="N22" s="22" t="s">
        <v>725</v>
      </c>
      <c r="O22" s="22"/>
      <c r="P22" s="55">
        <f>N19-P19</f>
        <v>0</v>
      </c>
    </row>
    <row r="23" spans="14:16" ht="12.75">
      <c r="N23" s="22" t="s">
        <v>432</v>
      </c>
      <c r="O23" s="22"/>
      <c r="P23" s="55">
        <f>P19-Q19</f>
        <v>0</v>
      </c>
    </row>
    <row r="26" ht="12.75">
      <c r="A26" s="6" t="s">
        <v>715</v>
      </c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70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11.57421875" style="22" hidden="1" customWidth="1"/>
    <col min="4" max="4" width="8.7109375" style="22" hidden="1" customWidth="1"/>
    <col min="5" max="11" width="9.140625" style="22" hidden="1" customWidth="1"/>
    <col min="12" max="14" width="9.140625" style="22" customWidth="1"/>
    <col min="15" max="16" width="9.140625" style="22" bestFit="1" customWidth="1"/>
    <col min="17" max="17" width="11.00390625" style="22" customWidth="1"/>
    <col min="18" max="18" width="10.28125" style="22" customWidth="1"/>
    <col min="19" max="19" width="10.28125" style="22" bestFit="1" customWidth="1"/>
    <col min="20" max="21" width="10.140625" style="22" bestFit="1" customWidth="1"/>
    <col min="22" max="22" width="11.7109375" style="22" customWidth="1"/>
    <col min="23" max="16384" width="9.140625" style="22" customWidth="1"/>
  </cols>
  <sheetData>
    <row r="1" ht="12.75">
      <c r="A1" s="22" t="s">
        <v>109</v>
      </c>
    </row>
    <row r="2" ht="12.75">
      <c r="A2" s="22" t="s">
        <v>110</v>
      </c>
    </row>
    <row r="3" spans="1:21" ht="12.75">
      <c r="A3" s="45" t="s">
        <v>416</v>
      </c>
      <c r="F3" s="26"/>
      <c r="G3" s="26"/>
      <c r="H3" s="26"/>
      <c r="I3" s="26"/>
      <c r="J3" s="26"/>
      <c r="K3" s="26"/>
      <c r="L3" s="26"/>
      <c r="M3" s="26"/>
      <c r="N3" s="26"/>
      <c r="O3" s="50">
        <v>9</v>
      </c>
      <c r="U3" s="26" t="s">
        <v>350</v>
      </c>
    </row>
    <row r="4" spans="3:2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ht="12.75">
      <c r="C5" s="26" t="s">
        <v>112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3" t="s">
        <v>118</v>
      </c>
    </row>
    <row r="7" spans="1:22" ht="12.75">
      <c r="A7" s="22" t="s">
        <v>652</v>
      </c>
      <c r="B7" s="48">
        <v>51.11</v>
      </c>
      <c r="C7" s="31">
        <v>126879</v>
      </c>
      <c r="D7" s="31">
        <v>142598</v>
      </c>
      <c r="E7" s="31">
        <v>147945</v>
      </c>
      <c r="F7" s="31">
        <v>170007</v>
      </c>
      <c r="G7" s="31">
        <v>162379</v>
      </c>
      <c r="H7" s="31">
        <v>202862</v>
      </c>
      <c r="I7" s="31">
        <v>217388</v>
      </c>
      <c r="J7" s="31">
        <v>210122</v>
      </c>
      <c r="K7" s="31">
        <v>245926</v>
      </c>
      <c r="L7" s="31">
        <v>262445.16</v>
      </c>
      <c r="M7" s="31">
        <v>268251</v>
      </c>
      <c r="N7" s="31">
        <v>262909</v>
      </c>
      <c r="O7" s="2">
        <v>200662</v>
      </c>
      <c r="P7" s="31">
        <f aca="true" t="shared" si="0" ref="P7:P36">(12/$O$3)*O7</f>
        <v>267549.3333333333</v>
      </c>
      <c r="Q7" s="31">
        <v>276528</v>
      </c>
      <c r="R7" s="31">
        <v>286530</v>
      </c>
      <c r="S7" s="31">
        <v>286530</v>
      </c>
      <c r="T7" s="31">
        <v>286530</v>
      </c>
      <c r="U7" s="51">
        <f aca="true" t="shared" si="1" ref="U7:U13">(T7-Q7)/Q7</f>
        <v>0.036169935775039054</v>
      </c>
      <c r="V7" s="22" t="s">
        <v>372</v>
      </c>
    </row>
    <row r="8" spans="1:21" ht="12.75">
      <c r="A8" s="22" t="s">
        <v>96</v>
      </c>
      <c r="B8" s="48">
        <v>51.1105</v>
      </c>
      <c r="C8" s="31"/>
      <c r="D8" s="31"/>
      <c r="E8" s="31"/>
      <c r="F8" s="31"/>
      <c r="G8" s="31">
        <v>2888</v>
      </c>
      <c r="H8" s="31">
        <v>2689</v>
      </c>
      <c r="I8" s="31">
        <v>4897</v>
      </c>
      <c r="J8" s="31">
        <v>7623</v>
      </c>
      <c r="K8" s="31">
        <v>11317</v>
      </c>
      <c r="L8" s="31">
        <v>11998</v>
      </c>
      <c r="M8" s="31">
        <v>6941</v>
      </c>
      <c r="N8" s="31"/>
      <c r="O8" s="2"/>
      <c r="P8" s="31">
        <f t="shared" si="0"/>
        <v>0</v>
      </c>
      <c r="Q8" s="31"/>
      <c r="R8" s="31"/>
      <c r="S8" s="31"/>
      <c r="T8" s="31"/>
      <c r="U8" s="51"/>
    </row>
    <row r="9" spans="1:21" ht="12.75">
      <c r="A9" s="22" t="s">
        <v>154</v>
      </c>
      <c r="B9" s="48">
        <v>51.13</v>
      </c>
      <c r="C9" s="31">
        <v>887</v>
      </c>
      <c r="D9" s="31">
        <v>1056</v>
      </c>
      <c r="E9" s="31">
        <v>1746</v>
      </c>
      <c r="F9" s="31">
        <v>2292</v>
      </c>
      <c r="G9" s="31">
        <v>1633</v>
      </c>
      <c r="H9" s="31">
        <v>3376</v>
      </c>
      <c r="I9" s="31">
        <v>1847</v>
      </c>
      <c r="J9" s="31">
        <v>2429</v>
      </c>
      <c r="K9" s="31">
        <v>2291</v>
      </c>
      <c r="L9" s="31">
        <v>1968</v>
      </c>
      <c r="M9" s="31"/>
      <c r="N9" s="31"/>
      <c r="O9" s="2"/>
      <c r="P9" s="31"/>
      <c r="Q9" s="31"/>
      <c r="R9" s="31"/>
      <c r="S9" s="31"/>
      <c r="T9" s="31"/>
      <c r="U9" s="51"/>
    </row>
    <row r="10" spans="1:22" ht="12.75">
      <c r="A10" s="22" t="s">
        <v>161</v>
      </c>
      <c r="B10" s="48">
        <v>51.21</v>
      </c>
      <c r="C10" s="31">
        <v>5149</v>
      </c>
      <c r="D10" s="31">
        <v>5031</v>
      </c>
      <c r="E10" s="31">
        <v>6372</v>
      </c>
      <c r="F10" s="31">
        <v>5679</v>
      </c>
      <c r="G10" s="31">
        <v>6695</v>
      </c>
      <c r="H10" s="31">
        <v>12525</v>
      </c>
      <c r="I10" s="31">
        <v>12607</v>
      </c>
      <c r="J10" s="31">
        <v>11673</v>
      </c>
      <c r="K10" s="31">
        <v>16044</v>
      </c>
      <c r="L10" s="31">
        <v>17323</v>
      </c>
      <c r="M10" s="31">
        <v>18103</v>
      </c>
      <c r="N10" s="31">
        <v>15020</v>
      </c>
      <c r="O10" s="2">
        <v>14503</v>
      </c>
      <c r="P10" s="31">
        <f>(12/$O$3)*O10</f>
        <v>19337.333333333332</v>
      </c>
      <c r="Q10" s="31">
        <v>19840</v>
      </c>
      <c r="R10" s="31">
        <f>4*5351</f>
        <v>21404</v>
      </c>
      <c r="S10" s="31">
        <v>21404</v>
      </c>
      <c r="T10" s="31">
        <v>21404</v>
      </c>
      <c r="U10" s="51">
        <f t="shared" si="1"/>
        <v>0.07883064516129032</v>
      </c>
      <c r="V10" s="22" t="s">
        <v>510</v>
      </c>
    </row>
    <row r="11" spans="1:22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2400</v>
      </c>
      <c r="S11" s="31">
        <v>2400</v>
      </c>
      <c r="T11" s="31">
        <v>2400</v>
      </c>
      <c r="U11" s="51"/>
      <c r="V11" s="22" t="s">
        <v>511</v>
      </c>
    </row>
    <row r="12" spans="1:21" ht="12.75">
      <c r="A12" s="22" t="s">
        <v>141</v>
      </c>
      <c r="B12" s="48">
        <v>51.22</v>
      </c>
      <c r="C12" s="31">
        <v>9924</v>
      </c>
      <c r="D12" s="31">
        <v>10989</v>
      </c>
      <c r="E12" s="31">
        <v>11450</v>
      </c>
      <c r="F12" s="31">
        <v>13340</v>
      </c>
      <c r="G12" s="31">
        <v>12520</v>
      </c>
      <c r="H12" s="31">
        <v>15204</v>
      </c>
      <c r="I12" s="31">
        <v>16053</v>
      </c>
      <c r="J12" s="31">
        <v>16437</v>
      </c>
      <c r="K12" s="31">
        <v>19332</v>
      </c>
      <c r="L12" s="31">
        <v>20578.21</v>
      </c>
      <c r="M12" s="31">
        <v>20313</v>
      </c>
      <c r="N12" s="31">
        <v>19582</v>
      </c>
      <c r="O12" s="2">
        <v>14869</v>
      </c>
      <c r="P12" s="31">
        <f>(P7+P8+P9)*0.0765</f>
        <v>20467.523999999998</v>
      </c>
      <c r="Q12" s="31">
        <f>(Q7+Q8+Q9)*0.0765</f>
        <v>21154.392</v>
      </c>
      <c r="R12" s="31">
        <f>R7*0.0765</f>
        <v>21919.545</v>
      </c>
      <c r="S12" s="31">
        <f>S7*0.0765</f>
        <v>21919.545</v>
      </c>
      <c r="T12" s="31">
        <f>T7*0.0765</f>
        <v>21919.545</v>
      </c>
      <c r="U12" s="51">
        <f t="shared" si="1"/>
        <v>0.036169935775038985</v>
      </c>
    </row>
    <row r="13" spans="1:21" ht="12.75">
      <c r="A13" s="22" t="s">
        <v>155</v>
      </c>
      <c r="B13" s="48">
        <v>51.24</v>
      </c>
      <c r="C13" s="31">
        <v>2036</v>
      </c>
      <c r="D13" s="31">
        <v>2072</v>
      </c>
      <c r="E13" s="31">
        <v>2674</v>
      </c>
      <c r="F13" s="31">
        <v>3855</v>
      </c>
      <c r="G13" s="31">
        <v>5444</v>
      </c>
      <c r="H13" s="31">
        <v>2248</v>
      </c>
      <c r="I13" s="31">
        <v>6368</v>
      </c>
      <c r="J13" s="31">
        <v>2910</v>
      </c>
      <c r="K13" s="31">
        <v>21454</v>
      </c>
      <c r="L13" s="31">
        <v>15228</v>
      </c>
      <c r="M13" s="31">
        <v>12360</v>
      </c>
      <c r="N13" s="31">
        <v>16700</v>
      </c>
      <c r="O13" s="2">
        <v>12581</v>
      </c>
      <c r="P13" s="31">
        <f>(12/$O$3)*O13</f>
        <v>16774.666666666664</v>
      </c>
      <c r="Q13" s="31">
        <v>18000</v>
      </c>
      <c r="R13" s="164">
        <v>19400</v>
      </c>
      <c r="S13" s="31">
        <v>19400</v>
      </c>
      <c r="T13" s="31">
        <v>19400</v>
      </c>
      <c r="U13" s="51">
        <f t="shared" si="1"/>
        <v>0.07777777777777778</v>
      </c>
    </row>
    <row r="14" spans="1:21" ht="12.75">
      <c r="A14" t="s">
        <v>1018</v>
      </c>
      <c r="B14" s="4">
        <v>51.27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1579</v>
      </c>
      <c r="P14" s="2">
        <v>1579</v>
      </c>
      <c r="Q14" s="2">
        <v>1579</v>
      </c>
      <c r="R14" s="2">
        <v>1600</v>
      </c>
      <c r="S14" s="2">
        <v>1600</v>
      </c>
      <c r="T14" s="2">
        <v>1600</v>
      </c>
      <c r="U14" s="89"/>
    </row>
    <row r="15" spans="2:22" ht="12.75">
      <c r="B15" s="4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51"/>
      <c r="V15" s="31"/>
    </row>
    <row r="16" spans="1:21" ht="12.75" hidden="1">
      <c r="A16" s="22" t="s">
        <v>566</v>
      </c>
      <c r="B16" s="48">
        <v>52.1211</v>
      </c>
      <c r="C16" s="31"/>
      <c r="D16" s="31"/>
      <c r="E16" s="31"/>
      <c r="F16" s="31"/>
      <c r="G16" s="31"/>
      <c r="H16" s="31"/>
      <c r="I16" s="31"/>
      <c r="J16" s="31"/>
      <c r="K16" s="31">
        <v>1005</v>
      </c>
      <c r="L16" s="31"/>
      <c r="M16" s="31"/>
      <c r="N16" s="31"/>
      <c r="O16" s="31"/>
      <c r="P16" s="31"/>
      <c r="Q16" s="31"/>
      <c r="R16" s="31"/>
      <c r="S16" s="31"/>
      <c r="T16" s="31"/>
      <c r="U16" s="51"/>
    </row>
    <row r="17" spans="1:21" ht="12.75" hidden="1">
      <c r="A17" s="22" t="s">
        <v>613</v>
      </c>
      <c r="B17" s="48">
        <v>52.122</v>
      </c>
      <c r="C17" s="31"/>
      <c r="D17" s="31"/>
      <c r="E17" s="31"/>
      <c r="F17" s="31"/>
      <c r="G17" s="31"/>
      <c r="H17" s="31"/>
      <c r="I17" s="31">
        <v>18445</v>
      </c>
      <c r="J17" s="31">
        <v>6956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51"/>
    </row>
    <row r="18" spans="1:21" ht="12.75" hidden="1">
      <c r="A18" s="22" t="s">
        <v>363</v>
      </c>
      <c r="B18" s="48">
        <v>52.1305</v>
      </c>
      <c r="C18" s="31"/>
      <c r="D18" s="31"/>
      <c r="E18" s="31"/>
      <c r="F18" s="31">
        <v>114</v>
      </c>
      <c r="G18" s="31"/>
      <c r="H18" s="31"/>
      <c r="I18" s="31"/>
      <c r="J18" s="31"/>
      <c r="K18" s="31"/>
      <c r="L18" s="31"/>
      <c r="M18" s="31"/>
      <c r="N18" s="31"/>
      <c r="O18" s="31"/>
      <c r="P18" s="31">
        <f t="shared" si="0"/>
        <v>0</v>
      </c>
      <c r="Q18" s="31"/>
      <c r="R18" s="31"/>
      <c r="S18" s="31"/>
      <c r="T18" s="31"/>
      <c r="U18" s="51"/>
    </row>
    <row r="19" spans="1:21" ht="12.75" hidden="1">
      <c r="A19" s="22" t="s">
        <v>374</v>
      </c>
      <c r="B19" s="48">
        <v>52.131</v>
      </c>
      <c r="C19" s="31"/>
      <c r="D19" s="31"/>
      <c r="E19" s="31">
        <v>1670</v>
      </c>
      <c r="F19" s="31"/>
      <c r="G19" s="31">
        <v>1500</v>
      </c>
      <c r="H19" s="31"/>
      <c r="I19" s="31"/>
      <c r="J19" s="31"/>
      <c r="K19" s="31"/>
      <c r="L19" s="31"/>
      <c r="M19" s="31"/>
      <c r="N19" s="31"/>
      <c r="O19" s="31"/>
      <c r="P19" s="31">
        <f t="shared" si="0"/>
        <v>0</v>
      </c>
      <c r="Q19" s="31"/>
      <c r="R19" s="31"/>
      <c r="S19" s="31"/>
      <c r="T19" s="31"/>
      <c r="U19" s="51"/>
    </row>
    <row r="20" spans="2:21" ht="12.75" hidden="1">
      <c r="B20" s="48">
        <v>52.1319</v>
      </c>
      <c r="C20" s="31"/>
      <c r="D20" s="31"/>
      <c r="E20" s="31"/>
      <c r="F20" s="31"/>
      <c r="G20" s="31">
        <v>395</v>
      </c>
      <c r="H20" s="31"/>
      <c r="I20" s="31"/>
      <c r="J20" s="31">
        <v>171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51"/>
    </row>
    <row r="21" spans="1:21" ht="12.75">
      <c r="A21" s="22" t="s">
        <v>143</v>
      </c>
      <c r="B21" s="48">
        <v>52.32</v>
      </c>
      <c r="C21" s="31">
        <v>15200</v>
      </c>
      <c r="D21" s="31">
        <v>17341</v>
      </c>
      <c r="E21" s="31">
        <v>15986</v>
      </c>
      <c r="F21" s="31">
        <v>16288</v>
      </c>
      <c r="G21" s="31">
        <v>13454</v>
      </c>
      <c r="H21" s="31">
        <v>8232</v>
      </c>
      <c r="I21" s="31">
        <v>8100</v>
      </c>
      <c r="J21" s="31">
        <v>8600</v>
      </c>
      <c r="K21" s="31">
        <v>9131</v>
      </c>
      <c r="L21" s="31">
        <v>9064</v>
      </c>
      <c r="M21" s="31">
        <v>8815</v>
      </c>
      <c r="N21" s="31">
        <v>9247</v>
      </c>
      <c r="O21" s="2">
        <v>1359</v>
      </c>
      <c r="P21" s="31">
        <f t="shared" si="0"/>
        <v>1812</v>
      </c>
      <c r="Q21" s="31">
        <v>2400</v>
      </c>
      <c r="R21" s="31">
        <v>1500</v>
      </c>
      <c r="S21" s="31">
        <v>1500</v>
      </c>
      <c r="T21" s="31">
        <v>1500</v>
      </c>
      <c r="U21" s="51">
        <f>(T21-Q21)/Q21</f>
        <v>-0.375</v>
      </c>
    </row>
    <row r="22" spans="1:21" ht="12.75">
      <c r="A22" s="22" t="s">
        <v>144</v>
      </c>
      <c r="B22" s="48">
        <v>52.321</v>
      </c>
      <c r="C22" s="31">
        <v>1416</v>
      </c>
      <c r="D22" s="31">
        <v>1766</v>
      </c>
      <c r="E22" s="31">
        <v>2778</v>
      </c>
      <c r="F22" s="31">
        <v>1501</v>
      </c>
      <c r="G22" s="31">
        <v>1143</v>
      </c>
      <c r="H22" s="31">
        <v>112</v>
      </c>
      <c r="I22" s="31">
        <v>636</v>
      </c>
      <c r="J22" s="31">
        <v>491</v>
      </c>
      <c r="K22" s="31">
        <f>196+43</f>
        <v>239</v>
      </c>
      <c r="L22" s="31">
        <v>401</v>
      </c>
      <c r="M22" s="31">
        <v>422</v>
      </c>
      <c r="N22" s="31">
        <v>9</v>
      </c>
      <c r="O22" s="2">
        <v>62</v>
      </c>
      <c r="P22" s="31">
        <v>400</v>
      </c>
      <c r="Q22" s="31">
        <v>400</v>
      </c>
      <c r="R22" s="31">
        <v>400</v>
      </c>
      <c r="S22" s="31">
        <v>400</v>
      </c>
      <c r="T22" s="31">
        <v>400</v>
      </c>
      <c r="U22" s="51">
        <f>(T22-Q22)/Q22</f>
        <v>0</v>
      </c>
    </row>
    <row r="23" spans="1:21" ht="11.25" customHeight="1">
      <c r="A23" s="22" t="s">
        <v>156</v>
      </c>
      <c r="B23" s="48">
        <v>52.35</v>
      </c>
      <c r="C23" s="31">
        <v>6411</v>
      </c>
      <c r="D23" s="31">
        <v>7764</v>
      </c>
      <c r="E23" s="31">
        <v>3673</v>
      </c>
      <c r="F23" s="31">
        <v>2980</v>
      </c>
      <c r="G23" s="31">
        <v>1132</v>
      </c>
      <c r="H23" s="31">
        <v>4105</v>
      </c>
      <c r="I23" s="31">
        <v>2182</v>
      </c>
      <c r="J23" s="31">
        <v>2838</v>
      </c>
      <c r="K23" s="31">
        <v>2583</v>
      </c>
      <c r="L23" s="31">
        <v>2498</v>
      </c>
      <c r="M23" s="31">
        <v>1766</v>
      </c>
      <c r="N23" s="31">
        <v>1034</v>
      </c>
      <c r="O23" s="2">
        <v>3741</v>
      </c>
      <c r="P23" s="31">
        <f t="shared" si="0"/>
        <v>4988</v>
      </c>
      <c r="Q23" s="31">
        <v>2000</v>
      </c>
      <c r="R23" s="31">
        <v>2000</v>
      </c>
      <c r="S23" s="31">
        <v>2000</v>
      </c>
      <c r="T23" s="31">
        <v>2000</v>
      </c>
      <c r="U23" s="51">
        <f>(T23-Q23)/Q23</f>
        <v>0</v>
      </c>
    </row>
    <row r="24" spans="1:21" ht="12.75" hidden="1">
      <c r="A24" s="22" t="s">
        <v>146</v>
      </c>
      <c r="B24" s="48">
        <v>52.3602</v>
      </c>
      <c r="C24" s="31">
        <v>30</v>
      </c>
      <c r="D24" s="31">
        <v>145</v>
      </c>
      <c r="E24" s="31">
        <v>130</v>
      </c>
      <c r="F24" s="31">
        <v>170</v>
      </c>
      <c r="G24" s="31">
        <v>50</v>
      </c>
      <c r="H24" s="31"/>
      <c r="I24" s="31"/>
      <c r="J24" s="31"/>
      <c r="K24" s="31"/>
      <c r="L24" s="31"/>
      <c r="M24" s="31"/>
      <c r="N24" s="31"/>
      <c r="O24" s="31"/>
      <c r="P24" s="31">
        <f t="shared" si="0"/>
        <v>0</v>
      </c>
      <c r="Q24" s="31"/>
      <c r="R24" s="31"/>
      <c r="S24" s="31"/>
      <c r="T24" s="31"/>
      <c r="U24" s="51"/>
    </row>
    <row r="25" spans="1:21" ht="12.75">
      <c r="A25" s="22" t="s">
        <v>157</v>
      </c>
      <c r="B25" s="48">
        <v>52.37</v>
      </c>
      <c r="C25" s="31"/>
      <c r="D25" s="31"/>
      <c r="E25" s="31">
        <v>3484</v>
      </c>
      <c r="F25" s="31">
        <v>2170</v>
      </c>
      <c r="G25" s="31">
        <v>1939</v>
      </c>
      <c r="H25" s="31">
        <v>4285</v>
      </c>
      <c r="I25" s="31"/>
      <c r="J25" s="31">
        <v>2240</v>
      </c>
      <c r="K25" s="31">
        <v>3075</v>
      </c>
      <c r="L25" s="31">
        <v>2318</v>
      </c>
      <c r="M25" s="31">
        <v>1305</v>
      </c>
      <c r="N25" s="31">
        <v>280</v>
      </c>
      <c r="O25" s="2">
        <v>950</v>
      </c>
      <c r="P25" s="31">
        <f t="shared" si="0"/>
        <v>1266.6666666666665</v>
      </c>
      <c r="Q25" s="31">
        <v>1500</v>
      </c>
      <c r="R25" s="31">
        <v>1500</v>
      </c>
      <c r="S25" s="31">
        <v>1500</v>
      </c>
      <c r="T25" s="31">
        <v>1500</v>
      </c>
      <c r="U25" s="51"/>
    </row>
    <row r="26" spans="1:21" ht="12.75">
      <c r="A26" s="22" t="s">
        <v>614</v>
      </c>
      <c r="B26" s="48">
        <v>53.1323</v>
      </c>
      <c r="C26" s="31"/>
      <c r="D26" s="31"/>
      <c r="E26" s="31"/>
      <c r="F26" s="31"/>
      <c r="G26" s="31"/>
      <c r="H26" s="31"/>
      <c r="I26" s="31">
        <v>1184</v>
      </c>
      <c r="J26" s="31">
        <v>700</v>
      </c>
      <c r="K26" s="31"/>
      <c r="L26" s="31">
        <v>15</v>
      </c>
      <c r="M26" s="31"/>
      <c r="N26" s="31"/>
      <c r="O26" s="31"/>
      <c r="P26" s="31"/>
      <c r="Q26" s="31"/>
      <c r="R26" s="31"/>
      <c r="S26" s="31"/>
      <c r="T26" s="31"/>
      <c r="U26" s="51"/>
    </row>
    <row r="27" spans="2:21" ht="12.75">
      <c r="B27" s="4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51"/>
    </row>
    <row r="28" spans="1:21" ht="12.75" hidden="1">
      <c r="A28" s="22" t="s">
        <v>377</v>
      </c>
      <c r="B28" s="48">
        <v>53.1704</v>
      </c>
      <c r="C28" s="31"/>
      <c r="D28" s="31"/>
      <c r="E28" s="31">
        <v>38</v>
      </c>
      <c r="F28" s="31"/>
      <c r="G28" s="31"/>
      <c r="H28" s="31">
        <v>31</v>
      </c>
      <c r="I28" s="31">
        <v>8</v>
      </c>
      <c r="J28" s="31"/>
      <c r="K28" s="31"/>
      <c r="L28" s="31"/>
      <c r="M28" s="31"/>
      <c r="N28" s="31"/>
      <c r="O28" s="31"/>
      <c r="P28" s="31">
        <f t="shared" si="0"/>
        <v>0</v>
      </c>
      <c r="Q28" s="31"/>
      <c r="R28" s="31"/>
      <c r="S28" s="31"/>
      <c r="T28" s="31"/>
      <c r="U28" s="51"/>
    </row>
    <row r="29" spans="1:21" ht="12.75">
      <c r="A29" s="22" t="s">
        <v>151</v>
      </c>
      <c r="B29" s="48">
        <v>53.171</v>
      </c>
      <c r="C29" s="31">
        <v>2466</v>
      </c>
      <c r="D29" s="31">
        <v>2367</v>
      </c>
      <c r="E29" s="31">
        <v>3434</v>
      </c>
      <c r="F29" s="31">
        <v>1995</v>
      </c>
      <c r="G29" s="31">
        <v>3920</v>
      </c>
      <c r="H29" s="31">
        <v>2434</v>
      </c>
      <c r="I29" s="31">
        <v>1778</v>
      </c>
      <c r="J29" s="31">
        <v>1852</v>
      </c>
      <c r="K29" s="31">
        <v>1810</v>
      </c>
      <c r="L29" s="31">
        <v>2412</v>
      </c>
      <c r="M29" s="31">
        <v>650</v>
      </c>
      <c r="N29" s="31">
        <v>1538</v>
      </c>
      <c r="O29" s="31">
        <v>506</v>
      </c>
      <c r="P29" s="31">
        <f t="shared" si="0"/>
        <v>674.6666666666666</v>
      </c>
      <c r="Q29" s="31">
        <v>1000</v>
      </c>
      <c r="R29" s="31">
        <v>1000</v>
      </c>
      <c r="S29" s="31">
        <v>1000</v>
      </c>
      <c r="T29" s="31">
        <v>1000</v>
      </c>
      <c r="U29" s="51">
        <f>(T29-Q29)/Q29</f>
        <v>0</v>
      </c>
    </row>
    <row r="30" spans="1:22" ht="12.75" hidden="1">
      <c r="A30" s="22" t="s">
        <v>375</v>
      </c>
      <c r="B30" s="48">
        <v>53.175</v>
      </c>
      <c r="C30" s="31"/>
      <c r="D30" s="31"/>
      <c r="E30" s="31">
        <v>8</v>
      </c>
      <c r="F30" s="31">
        <v>168</v>
      </c>
      <c r="G30" s="31"/>
      <c r="H30" s="31"/>
      <c r="I30" s="31"/>
      <c r="J30" s="31"/>
      <c r="K30" s="31"/>
      <c r="L30" s="31"/>
      <c r="M30" s="31"/>
      <c r="N30" s="31"/>
      <c r="O30" s="31"/>
      <c r="P30" s="31">
        <f t="shared" si="0"/>
        <v>0</v>
      </c>
      <c r="Q30" s="31"/>
      <c r="R30" s="31"/>
      <c r="S30" s="31"/>
      <c r="T30" s="31"/>
      <c r="U30" s="51"/>
      <c r="V30" s="22" t="s">
        <v>565</v>
      </c>
    </row>
    <row r="31" spans="1:22" ht="12.75" hidden="1">
      <c r="A31" s="22" t="s">
        <v>666</v>
      </c>
      <c r="B31" s="48">
        <v>53.176</v>
      </c>
      <c r="C31" s="31"/>
      <c r="D31" s="31"/>
      <c r="E31" s="31">
        <v>29</v>
      </c>
      <c r="F31" s="31">
        <v>7</v>
      </c>
      <c r="G31" s="31"/>
      <c r="H31" s="31"/>
      <c r="I31" s="31"/>
      <c r="J31" s="31"/>
      <c r="K31" s="31"/>
      <c r="L31" s="31"/>
      <c r="M31" s="31"/>
      <c r="N31" s="31"/>
      <c r="O31" s="31"/>
      <c r="P31" s="31">
        <f t="shared" si="0"/>
        <v>0</v>
      </c>
      <c r="Q31" s="31"/>
      <c r="R31" s="31"/>
      <c r="S31" s="31"/>
      <c r="T31" s="31"/>
      <c r="U31" s="51"/>
      <c r="V31" s="22" t="s">
        <v>565</v>
      </c>
    </row>
    <row r="32" spans="1:22" ht="12.75" hidden="1">
      <c r="A32" s="22" t="s">
        <v>376</v>
      </c>
      <c r="B32" s="48">
        <v>53.177</v>
      </c>
      <c r="C32" s="31"/>
      <c r="D32" s="31"/>
      <c r="F32" s="31">
        <v>48</v>
      </c>
      <c r="G32" s="31"/>
      <c r="H32" s="31"/>
      <c r="I32" s="31"/>
      <c r="J32" s="31"/>
      <c r="K32" s="31"/>
      <c r="L32" s="31"/>
      <c r="M32" s="31"/>
      <c r="N32" s="31"/>
      <c r="O32" s="31"/>
      <c r="P32" s="31">
        <f t="shared" si="0"/>
        <v>0</v>
      </c>
      <c r="Q32" s="31"/>
      <c r="R32" s="31"/>
      <c r="S32" s="31"/>
      <c r="T32" s="31"/>
      <c r="U32" s="51"/>
      <c r="V32" s="22" t="s">
        <v>565</v>
      </c>
    </row>
    <row r="33" spans="1:22" ht="12.75" hidden="1">
      <c r="A33" s="22" t="s">
        <v>180</v>
      </c>
      <c r="B33" s="48">
        <v>53.179</v>
      </c>
      <c r="C33" s="31"/>
      <c r="D33" s="31">
        <v>10</v>
      </c>
      <c r="E33" s="31">
        <v>7</v>
      </c>
      <c r="F33" s="31">
        <v>239</v>
      </c>
      <c r="G33" s="31"/>
      <c r="H33" s="31"/>
      <c r="I33" s="31"/>
      <c r="J33" s="31"/>
      <c r="K33" s="31"/>
      <c r="L33" s="31"/>
      <c r="M33" s="31"/>
      <c r="N33" s="31"/>
      <c r="O33" s="31"/>
      <c r="P33" s="31">
        <f t="shared" si="0"/>
        <v>0</v>
      </c>
      <c r="Q33" s="31"/>
      <c r="R33" s="31"/>
      <c r="S33" s="31"/>
      <c r="T33" s="31"/>
      <c r="U33" s="51"/>
      <c r="V33" s="22" t="s">
        <v>565</v>
      </c>
    </row>
    <row r="34" spans="1:21" ht="12.75" hidden="1">
      <c r="A34" s="22" t="s">
        <v>630</v>
      </c>
      <c r="B34" s="48">
        <v>53.1728</v>
      </c>
      <c r="C34" s="31"/>
      <c r="D34" s="31"/>
      <c r="E34" s="31"/>
      <c r="F34" s="31"/>
      <c r="G34" s="31"/>
      <c r="H34" s="31"/>
      <c r="I34" s="31">
        <v>197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1"/>
    </row>
    <row r="35" spans="2:21" ht="12.75">
      <c r="B35" s="48"/>
      <c r="C35" s="31"/>
      <c r="D35" s="31"/>
      <c r="E35" s="31"/>
      <c r="F35" s="31"/>
      <c r="G35" s="31"/>
      <c r="H35" s="31"/>
      <c r="I35" s="31">
        <v>638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51"/>
    </row>
    <row r="36" spans="1:21" ht="12.75" hidden="1">
      <c r="A36" s="22" t="s">
        <v>166</v>
      </c>
      <c r="B36" s="48">
        <v>54.22</v>
      </c>
      <c r="C36" s="31"/>
      <c r="D36" s="31"/>
      <c r="E36" s="31">
        <v>3618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f t="shared" si="0"/>
        <v>0</v>
      </c>
      <c r="Q36" s="31"/>
      <c r="R36" s="31"/>
      <c r="S36" s="31"/>
      <c r="T36" s="31"/>
      <c r="U36" s="51"/>
    </row>
    <row r="37" spans="1:21" ht="12.75">
      <c r="A37" s="22" t="s">
        <v>229</v>
      </c>
      <c r="B37" s="48">
        <v>54.24</v>
      </c>
      <c r="C37" s="31"/>
      <c r="D37" s="31"/>
      <c r="E37" s="31"/>
      <c r="F37" s="31">
        <v>1299</v>
      </c>
      <c r="G37" s="31">
        <v>190</v>
      </c>
      <c r="H37" s="31">
        <v>49</v>
      </c>
      <c r="I37" s="31">
        <f>114+107</f>
        <v>221</v>
      </c>
      <c r="J37" s="31">
        <v>20901</v>
      </c>
      <c r="K37" s="31"/>
      <c r="L37" s="31"/>
      <c r="M37" s="31"/>
      <c r="N37" s="31"/>
      <c r="O37" s="2"/>
      <c r="P37" s="31"/>
      <c r="Q37" s="31"/>
      <c r="R37" s="31"/>
      <c r="S37" s="31"/>
      <c r="T37" s="31"/>
      <c r="U37" s="51"/>
    </row>
    <row r="38" spans="1:21" ht="12.75">
      <c r="A38" s="22" t="s">
        <v>683</v>
      </c>
      <c r="B38" s="4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51"/>
    </row>
    <row r="39" spans="2:21" ht="12.75">
      <c r="B39" s="4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</row>
    <row r="40" spans="1:21" ht="12.75">
      <c r="A40" s="45" t="s">
        <v>119</v>
      </c>
      <c r="B40" s="45"/>
      <c r="C40" s="49">
        <v>172023</v>
      </c>
      <c r="D40" s="46">
        <v>192947</v>
      </c>
      <c r="E40" s="46">
        <v>206866</v>
      </c>
      <c r="F40" s="46">
        <v>222152</v>
      </c>
      <c r="G40" s="46">
        <v>215282</v>
      </c>
      <c r="H40" s="46">
        <v>258152</v>
      </c>
      <c r="I40" s="46">
        <v>292549</v>
      </c>
      <c r="J40" s="46">
        <v>307781</v>
      </c>
      <c r="K40" s="46">
        <v>334207</v>
      </c>
      <c r="L40" s="46">
        <v>346323</v>
      </c>
      <c r="M40" s="46">
        <v>338926</v>
      </c>
      <c r="N40" s="46">
        <v>326319</v>
      </c>
      <c r="O40" s="46">
        <f aca="true" t="shared" si="2" ref="O40:T40">SUM(O7:O39)</f>
        <v>250812</v>
      </c>
      <c r="P40" s="46">
        <f t="shared" si="2"/>
        <v>334849.19066666666</v>
      </c>
      <c r="Q40" s="46">
        <f>SUM(Q7:Q39)</f>
        <v>344401.392</v>
      </c>
      <c r="R40" s="46">
        <f t="shared" si="2"/>
        <v>359653.545</v>
      </c>
      <c r="S40" s="46">
        <f t="shared" si="2"/>
        <v>359653.545</v>
      </c>
      <c r="T40" s="46">
        <f t="shared" si="2"/>
        <v>359653.545</v>
      </c>
      <c r="U40" s="52">
        <f>(T40-Q40)/Q40</f>
        <v>0.04428597954098859</v>
      </c>
    </row>
    <row r="42" spans="17:21" ht="12.75">
      <c r="Q42" s="22" t="s">
        <v>484</v>
      </c>
      <c r="S42" s="55">
        <f>R40-S40</f>
        <v>0</v>
      </c>
      <c r="T42" s="54"/>
      <c r="U42" s="42"/>
    </row>
    <row r="43" spans="17:19" ht="12.75">
      <c r="Q43" s="22" t="s">
        <v>725</v>
      </c>
      <c r="S43" s="55">
        <f>Q40-S40</f>
        <v>-15252.152999999991</v>
      </c>
    </row>
    <row r="44" spans="17:23" ht="12.75">
      <c r="Q44" s="22" t="s">
        <v>432</v>
      </c>
      <c r="S44" s="55">
        <f>S40-T40</f>
        <v>0</v>
      </c>
      <c r="W44" s="31"/>
    </row>
    <row r="46" ht="12.75">
      <c r="A46" s="22" t="s">
        <v>1053</v>
      </c>
    </row>
    <row r="47" ht="12.75">
      <c r="A47" t="s">
        <v>1054</v>
      </c>
    </row>
    <row r="48" ht="12.75">
      <c r="A48" s="22" t="s">
        <v>1099</v>
      </c>
    </row>
    <row r="58" spans="3:18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Q58" s="31"/>
      <c r="R58" s="31"/>
    </row>
    <row r="59" spans="3:18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Q59" s="31"/>
      <c r="R59" s="31"/>
    </row>
    <row r="60" spans="3:18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Q60" s="31"/>
      <c r="R60" s="31"/>
    </row>
    <row r="61" spans="3:18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Q61" s="31"/>
      <c r="R61" s="31"/>
    </row>
    <row r="62" spans="3:18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5:16" ht="12.75">
      <c r="O64" s="31"/>
      <c r="P64" s="31"/>
    </row>
    <row r="65" spans="15:21" ht="12.75">
      <c r="O65" s="31"/>
      <c r="P65" s="31"/>
      <c r="S65" s="31"/>
      <c r="T65" s="31"/>
      <c r="U65" s="31"/>
    </row>
    <row r="66" spans="15:21" ht="12.75">
      <c r="O66" s="31"/>
      <c r="P66" s="31"/>
      <c r="S66" s="31"/>
      <c r="T66" s="31"/>
      <c r="U66" s="31"/>
    </row>
    <row r="67" spans="15:21" ht="12.75">
      <c r="O67" s="31"/>
      <c r="P67" s="31"/>
      <c r="S67" s="31"/>
      <c r="T67" s="31"/>
      <c r="U67" s="31"/>
    </row>
    <row r="68" spans="19:21" ht="12.75">
      <c r="S68" s="31"/>
      <c r="T68" s="31"/>
      <c r="U68" s="31"/>
    </row>
    <row r="69" spans="19:21" ht="12.75">
      <c r="S69" s="31"/>
      <c r="T69" s="31"/>
      <c r="U69" s="31"/>
    </row>
    <row r="70" spans="19:21" ht="12.75">
      <c r="S70" s="31"/>
      <c r="T70" s="31"/>
      <c r="U70" s="31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8.00390625" style="0" hidden="1" customWidth="1"/>
    <col min="6" max="7" width="7.57421875" style="0" hidden="1" customWidth="1"/>
    <col min="8" max="8" width="8.00390625" style="0" hidden="1" customWidth="1"/>
    <col min="9" max="11" width="8.00390625" style="0" customWidth="1"/>
    <col min="12" max="12" width="6.8515625" style="0" bestFit="1" customWidth="1"/>
    <col min="13" max="13" width="8.00390625" style="0" bestFit="1" customWidth="1"/>
    <col min="14" max="14" width="10.28125" style="0" customWidth="1"/>
    <col min="16" max="16" width="10.7109375" style="0" bestFit="1" customWidth="1"/>
    <col min="17" max="17" width="10.8515625" style="0" bestFit="1" customWidth="1"/>
    <col min="18" max="18" width="9.421875" style="0" bestFit="1" customWidth="1"/>
    <col min="19" max="19" width="11.7109375" style="0" customWidth="1"/>
  </cols>
  <sheetData>
    <row r="1" spans="1:2" ht="12.75">
      <c r="A1" t="s">
        <v>109</v>
      </c>
      <c r="B1">
        <v>2007</v>
      </c>
    </row>
    <row r="2" ht="12.75">
      <c r="A2" t="s">
        <v>110</v>
      </c>
    </row>
    <row r="3" spans="1:18" ht="12.75">
      <c r="A3" s="6" t="s">
        <v>471</v>
      </c>
      <c r="L3" s="56">
        <v>6</v>
      </c>
      <c r="M3" s="9"/>
      <c r="R3" s="1" t="s">
        <v>434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430</v>
      </c>
      <c r="M4" s="9" t="s">
        <v>453</v>
      </c>
      <c r="N4" s="1"/>
      <c r="O4" s="3" t="s">
        <v>114</v>
      </c>
      <c r="P4" s="3" t="s">
        <v>598</v>
      </c>
      <c r="Q4" s="3" t="s">
        <v>599</v>
      </c>
      <c r="R4" s="1" t="s">
        <v>435</v>
      </c>
    </row>
    <row r="5" spans="3:18" ht="12.75">
      <c r="C5" s="1" t="s">
        <v>421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455</v>
      </c>
      <c r="N5" s="1" t="s">
        <v>350</v>
      </c>
      <c r="O5" s="3" t="s">
        <v>115</v>
      </c>
      <c r="P5" s="3" t="s">
        <v>116</v>
      </c>
      <c r="Q5" s="3" t="s">
        <v>117</v>
      </c>
      <c r="R5" s="1" t="s">
        <v>423</v>
      </c>
    </row>
    <row r="6" spans="1:19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802</v>
      </c>
      <c r="S6" s="62" t="s">
        <v>118</v>
      </c>
    </row>
    <row r="7" spans="1:18" ht="12.75">
      <c r="A7" t="s">
        <v>650</v>
      </c>
      <c r="B7" s="4">
        <v>51.11</v>
      </c>
      <c r="C7" s="2">
        <v>3396</v>
      </c>
      <c r="D7" s="2">
        <v>7544</v>
      </c>
      <c r="E7" s="2">
        <v>8507</v>
      </c>
      <c r="F7" s="2">
        <v>9025</v>
      </c>
      <c r="G7" s="2">
        <v>9220</v>
      </c>
      <c r="H7" s="2"/>
      <c r="I7" s="2"/>
      <c r="J7" s="2"/>
      <c r="K7" s="2"/>
      <c r="L7" s="2"/>
      <c r="M7" s="2"/>
      <c r="N7" s="2"/>
      <c r="O7" s="2"/>
      <c r="P7" s="2"/>
      <c r="Q7" s="2"/>
      <c r="R7" s="51" t="e">
        <f>(Q7-N7)/N7</f>
        <v>#DIV/0!</v>
      </c>
    </row>
    <row r="8" spans="1:18" ht="12.75">
      <c r="A8" t="s">
        <v>161</v>
      </c>
      <c r="B8" s="4">
        <v>51.21</v>
      </c>
      <c r="C8" s="2">
        <v>1447</v>
      </c>
      <c r="D8" s="2">
        <v>2513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</row>
    <row r="9" spans="1:18" ht="12.75">
      <c r="A9" t="s">
        <v>141</v>
      </c>
      <c r="B9" s="4">
        <v>51.22</v>
      </c>
      <c r="C9" s="2">
        <v>248</v>
      </c>
      <c r="D9" s="2">
        <v>577</v>
      </c>
      <c r="E9" s="2">
        <v>650</v>
      </c>
      <c r="F9" s="2">
        <v>690</v>
      </c>
      <c r="G9" s="2">
        <v>705</v>
      </c>
      <c r="H9" s="2"/>
      <c r="I9" s="2"/>
      <c r="J9" s="2"/>
      <c r="K9" s="2"/>
      <c r="L9" s="2"/>
      <c r="M9" s="2"/>
      <c r="N9" s="2"/>
      <c r="O9" s="2"/>
      <c r="P9" s="2"/>
      <c r="Q9" s="2"/>
      <c r="R9" s="51" t="e">
        <f aca="true" t="shared" si="0" ref="R9:R22">(Q9-N9)/N9</f>
        <v>#DIV/0!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</row>
    <row r="11" spans="1:18" ht="12.75">
      <c r="A11" t="s">
        <v>363</v>
      </c>
      <c r="B11" s="4">
        <v>52.1305</v>
      </c>
      <c r="C11" s="2"/>
      <c r="D11" s="2"/>
      <c r="E11" s="2">
        <v>347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</row>
    <row r="12" spans="1:18" ht="12.75">
      <c r="A12" t="s">
        <v>143</v>
      </c>
      <c r="B12" s="4">
        <v>52.32</v>
      </c>
      <c r="C12" s="2"/>
      <c r="D12" s="2">
        <v>256</v>
      </c>
      <c r="E12" s="2">
        <v>464</v>
      </c>
      <c r="F12" s="2">
        <v>704</v>
      </c>
      <c r="G12" s="2">
        <v>683</v>
      </c>
      <c r="H12" s="2"/>
      <c r="I12" s="2"/>
      <c r="J12" s="2"/>
      <c r="K12" s="2"/>
      <c r="L12" s="2"/>
      <c r="M12" s="2">
        <f aca="true" t="shared" si="1" ref="M12:M18">+L12/$L$3*12</f>
        <v>0</v>
      </c>
      <c r="N12" s="2"/>
      <c r="O12" s="2"/>
      <c r="P12" s="2"/>
      <c r="Q12" s="2"/>
      <c r="R12" s="51" t="e">
        <f t="shared" si="0"/>
        <v>#DIV/0!</v>
      </c>
    </row>
    <row r="13" spans="1:18" ht="12.75">
      <c r="A13" t="s">
        <v>144</v>
      </c>
      <c r="B13" s="4">
        <v>52.321</v>
      </c>
      <c r="C13" s="2">
        <v>270</v>
      </c>
      <c r="D13" s="2">
        <v>211</v>
      </c>
      <c r="E13" s="2">
        <v>169</v>
      </c>
      <c r="F13" s="2">
        <v>285</v>
      </c>
      <c r="G13" s="2">
        <v>297</v>
      </c>
      <c r="H13" s="2"/>
      <c r="I13" s="2"/>
      <c r="J13" s="2"/>
      <c r="K13" s="2"/>
      <c r="L13" s="2"/>
      <c r="M13" s="2">
        <f t="shared" si="1"/>
        <v>0</v>
      </c>
      <c r="N13" s="2"/>
      <c r="O13" s="2"/>
      <c r="P13" s="2"/>
      <c r="Q13" s="2"/>
      <c r="R13" s="51" t="e">
        <f t="shared" si="0"/>
        <v>#DIV/0!</v>
      </c>
    </row>
    <row r="14" spans="1:18" ht="12.75">
      <c r="A14" t="s">
        <v>145</v>
      </c>
      <c r="B14" s="4">
        <v>52.35</v>
      </c>
      <c r="C14" s="2">
        <v>440</v>
      </c>
      <c r="D14" s="2">
        <v>125</v>
      </c>
      <c r="E14" s="2"/>
      <c r="F14" s="2">
        <v>60</v>
      </c>
      <c r="G14" s="2">
        <v>30</v>
      </c>
      <c r="H14" s="2"/>
      <c r="I14" s="2"/>
      <c r="J14" s="2"/>
      <c r="K14" s="2"/>
      <c r="L14" s="2"/>
      <c r="M14" s="2">
        <f t="shared" si="1"/>
        <v>0</v>
      </c>
      <c r="N14" s="2"/>
      <c r="O14" s="2"/>
      <c r="P14" s="2"/>
      <c r="Q14" s="2"/>
      <c r="R14" s="51" t="e">
        <f t="shared" si="0"/>
        <v>#DIV/0!</v>
      </c>
    </row>
    <row r="15" spans="1:18" ht="12.75">
      <c r="A15" t="s">
        <v>261</v>
      </c>
      <c r="B15" s="4">
        <v>52.3602</v>
      </c>
      <c r="C15" s="2">
        <v>65</v>
      </c>
      <c r="D15" s="2">
        <v>215</v>
      </c>
      <c r="E15" s="2">
        <v>200</v>
      </c>
      <c r="F15" s="2">
        <v>200</v>
      </c>
      <c r="G15" s="2">
        <v>200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51" t="e">
        <f t="shared" si="0"/>
        <v>#DIV/0!</v>
      </c>
    </row>
    <row r="16" spans="1:18" ht="12.75">
      <c r="A16" t="s">
        <v>262</v>
      </c>
      <c r="B16" s="4">
        <v>53.133</v>
      </c>
      <c r="C16" s="2"/>
      <c r="D16" s="2"/>
      <c r="E16" s="2">
        <v>191</v>
      </c>
      <c r="F16" s="2">
        <v>330</v>
      </c>
      <c r="G16" s="2">
        <v>222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51" t="e">
        <f t="shared" si="0"/>
        <v>#DIV/0!</v>
      </c>
    </row>
    <row r="17" spans="1:18" ht="12.75">
      <c r="A17" t="s">
        <v>263</v>
      </c>
      <c r="B17" s="4">
        <v>53.171</v>
      </c>
      <c r="C17" s="2">
        <v>-683</v>
      </c>
      <c r="D17" s="2">
        <v>610</v>
      </c>
      <c r="E17" s="2">
        <v>616</v>
      </c>
      <c r="F17" s="2">
        <v>681</v>
      </c>
      <c r="G17" s="2">
        <v>569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51" t="e">
        <f t="shared" si="0"/>
        <v>#DIV/0!</v>
      </c>
    </row>
    <row r="18" spans="1:18" ht="12.75">
      <c r="A18" t="s">
        <v>264</v>
      </c>
      <c r="B18" s="4">
        <v>53.1711</v>
      </c>
      <c r="C18" s="2">
        <v>629</v>
      </c>
      <c r="D18" s="2">
        <v>620</v>
      </c>
      <c r="E18" s="2">
        <v>1698</v>
      </c>
      <c r="F18" s="2">
        <v>1183</v>
      </c>
      <c r="G18" s="2">
        <v>1176</v>
      </c>
      <c r="H18" s="2"/>
      <c r="I18" s="2"/>
      <c r="J18" s="2"/>
      <c r="K18" s="2"/>
      <c r="L18" s="2"/>
      <c r="M18" s="2">
        <f t="shared" si="1"/>
        <v>0</v>
      </c>
      <c r="N18" s="2"/>
      <c r="O18" s="2"/>
      <c r="P18" s="2"/>
      <c r="Q18" s="2"/>
      <c r="R18" s="51" t="e">
        <f t="shared" si="0"/>
        <v>#DIV/0!</v>
      </c>
    </row>
    <row r="19" spans="1:18" ht="12.75">
      <c r="A19" t="s">
        <v>265</v>
      </c>
      <c r="B19" s="4">
        <v>53.1721</v>
      </c>
      <c r="C19" s="2"/>
      <c r="D19" s="2"/>
      <c r="E19" s="2"/>
      <c r="F19" s="2">
        <v>294</v>
      </c>
      <c r="G19" s="2">
        <v>287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51" t="e">
        <f t="shared" si="0"/>
        <v>#DIV/0!</v>
      </c>
    </row>
    <row r="20" spans="2:20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T20" t="s">
        <v>649</v>
      </c>
    </row>
    <row r="21" spans="2:18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</row>
    <row r="22" spans="1:18" ht="12.75">
      <c r="A22" s="6" t="s">
        <v>119</v>
      </c>
      <c r="B22" s="6"/>
      <c r="C22" s="7">
        <f>SUM(C7:C20)</f>
        <v>5812</v>
      </c>
      <c r="D22" s="8">
        <f>SUM(D7:D20)</f>
        <v>12671</v>
      </c>
      <c r="E22" s="8">
        <f aca="true" t="shared" si="2" ref="E22:Q22">SUM(E7:E21)</f>
        <v>12842</v>
      </c>
      <c r="F22" s="8">
        <f t="shared" si="2"/>
        <v>13452</v>
      </c>
      <c r="G22" s="8">
        <f t="shared" si="2"/>
        <v>13389</v>
      </c>
      <c r="H22" s="8">
        <f>SUM(H7:H21)</f>
        <v>0</v>
      </c>
      <c r="I22" s="8">
        <f>SUM(I7:I21)</f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8">
        <f t="shared" si="2"/>
        <v>0</v>
      </c>
      <c r="Q22" s="8">
        <f t="shared" si="2"/>
        <v>0</v>
      </c>
      <c r="R22" s="51" t="e">
        <f t="shared" si="0"/>
        <v>#DIV/0!</v>
      </c>
    </row>
    <row r="23" ht="12.75">
      <c r="R23" s="51"/>
    </row>
    <row r="24" spans="1:18" ht="12.75">
      <c r="A24" t="s">
        <v>336</v>
      </c>
      <c r="B24">
        <v>0</v>
      </c>
      <c r="N24" s="22" t="s">
        <v>484</v>
      </c>
      <c r="O24" s="22"/>
      <c r="P24" s="55">
        <f>O22-P22</f>
        <v>0</v>
      </c>
      <c r="R24" s="51"/>
    </row>
    <row r="25" spans="14:18" ht="12.75">
      <c r="N25" s="22" t="s">
        <v>725</v>
      </c>
      <c r="O25" s="22"/>
      <c r="P25" s="55">
        <f>N22-P22</f>
        <v>0</v>
      </c>
      <c r="R25" s="51"/>
    </row>
    <row r="26" spans="14:18" ht="12.75">
      <c r="N26" s="22" t="s">
        <v>432</v>
      </c>
      <c r="O26" s="22"/>
      <c r="P26" s="55">
        <f>P22-Q22</f>
        <v>0</v>
      </c>
      <c r="R26" s="51"/>
    </row>
    <row r="27" ht="12.75">
      <c r="R27" s="51"/>
    </row>
    <row r="28" ht="12.75">
      <c r="R28" s="51"/>
    </row>
    <row r="29" spans="1:18" ht="12.75">
      <c r="A29" s="6"/>
      <c r="R29" s="51"/>
    </row>
    <row r="30" ht="12.75">
      <c r="R30" s="51"/>
    </row>
    <row r="31" spans="1:18" ht="12.75">
      <c r="A31" s="6" t="s">
        <v>715</v>
      </c>
      <c r="R31" s="51"/>
    </row>
    <row r="32" ht="12.75">
      <c r="R32" s="51"/>
    </row>
    <row r="33" ht="12.75">
      <c r="R33" s="51"/>
    </row>
    <row r="34" ht="12.75">
      <c r="R34" s="51"/>
    </row>
    <row r="35" ht="12.75">
      <c r="R35" s="51"/>
    </row>
    <row r="36" ht="12.75">
      <c r="R36" s="51"/>
    </row>
    <row r="37" ht="12.75">
      <c r="R37" s="51"/>
    </row>
    <row r="38" ht="12.75">
      <c r="R38" s="51"/>
    </row>
    <row r="39" ht="12.75">
      <c r="R39" s="51"/>
    </row>
    <row r="40" ht="12.75">
      <c r="R40" s="51"/>
    </row>
    <row r="41" ht="12.75">
      <c r="R41" s="51"/>
    </row>
    <row r="42" ht="12.75">
      <c r="R42" s="51"/>
    </row>
    <row r="43" ht="12.75">
      <c r="R43" s="51"/>
    </row>
    <row r="44" ht="12.75">
      <c r="R44" s="51"/>
    </row>
    <row r="66" ht="12.75">
      <c r="R66" s="2"/>
    </row>
    <row r="67" ht="12.75">
      <c r="R67" s="2"/>
    </row>
    <row r="68" ht="12.75"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W70"/>
  <sheetViews>
    <sheetView zoomScale="75" zoomScaleNormal="75" workbookViewId="0" topLeftCell="A1">
      <selection activeCell="P55" sqref="P5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0.13671875" style="0" hidden="1" customWidth="1"/>
    <col min="8" max="11" width="11.7109375" style="0" hidden="1" customWidth="1"/>
    <col min="12" max="15" width="11.7109375" style="0" customWidth="1"/>
    <col min="16" max="16" width="13.421875" style="0" bestFit="1" customWidth="1"/>
    <col min="17" max="17" width="11.7109375" style="0" customWidth="1"/>
    <col min="18" max="18" width="9.7109375" style="0" bestFit="1" customWidth="1"/>
    <col min="19" max="19" width="10.7109375" style="0" bestFit="1" customWidth="1"/>
    <col min="20" max="20" width="9.7109375" style="0" bestFit="1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480</v>
      </c>
      <c r="O3" s="56">
        <v>6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 t="s">
        <v>453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455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3.5" thickBot="1">
      <c r="A6" t="s">
        <v>121</v>
      </c>
      <c r="C6" s="1">
        <v>1999</v>
      </c>
      <c r="D6" s="61">
        <v>2000</v>
      </c>
      <c r="E6" s="61">
        <v>2001</v>
      </c>
      <c r="F6" s="61">
        <v>2002</v>
      </c>
      <c r="G6" s="61">
        <v>2003</v>
      </c>
      <c r="H6" s="61">
        <v>2004</v>
      </c>
      <c r="I6" s="61">
        <v>2005</v>
      </c>
      <c r="J6" s="61">
        <v>2006</v>
      </c>
      <c r="K6" s="61">
        <v>2007</v>
      </c>
      <c r="L6" s="61">
        <v>2008</v>
      </c>
      <c r="M6" s="61">
        <v>2009</v>
      </c>
      <c r="N6" s="61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62" t="s">
        <v>118</v>
      </c>
    </row>
    <row r="7" spans="1:22" ht="12.75">
      <c r="A7" t="s">
        <v>678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/>
      <c r="P7" s="2"/>
      <c r="Q7" s="2">
        <v>0</v>
      </c>
      <c r="R7" s="2"/>
      <c r="S7" s="2"/>
      <c r="T7" s="2">
        <v>0</v>
      </c>
      <c r="U7" s="89" t="e">
        <f>(T7-Q7)/Q7</f>
        <v>#DIV/0!</v>
      </c>
      <c r="V7" t="s">
        <v>372</v>
      </c>
    </row>
    <row r="8" spans="2:21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1"/>
    </row>
    <row r="9" spans="1:21" ht="12.75">
      <c r="A9" s="6" t="s">
        <v>119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T9">SUM(K7:K8)</f>
        <v>2352</v>
      </c>
      <c r="L9" s="8">
        <v>2352</v>
      </c>
      <c r="M9" s="8"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93" t="e">
        <f>(T9-Q9)/Q9</f>
        <v>#DIV/0!</v>
      </c>
    </row>
    <row r="10" ht="12.75">
      <c r="U10" s="51"/>
    </row>
    <row r="11" spans="17:21" ht="12.75">
      <c r="Q11" s="22" t="s">
        <v>484</v>
      </c>
      <c r="R11" s="22"/>
      <c r="S11" s="55">
        <f>R9-S9</f>
        <v>0</v>
      </c>
      <c r="U11" s="51"/>
    </row>
    <row r="12" spans="17:21" ht="12.75">
      <c r="Q12" s="22" t="s">
        <v>725</v>
      </c>
      <c r="R12" s="22"/>
      <c r="S12" s="55">
        <f>Q9-S9</f>
        <v>0</v>
      </c>
      <c r="U12" s="51"/>
    </row>
    <row r="13" spans="1:21" ht="12.75">
      <c r="A13" s="6" t="s">
        <v>59</v>
      </c>
      <c r="Q13" s="22" t="s">
        <v>432</v>
      </c>
      <c r="R13" s="22"/>
      <c r="S13" s="55">
        <f>S9-T9</f>
        <v>0</v>
      </c>
      <c r="U13" s="51"/>
    </row>
    <row r="14" spans="1:21" ht="12.75">
      <c r="A14" s="6"/>
      <c r="U14" s="51"/>
    </row>
    <row r="15" spans="1:21" ht="12.75">
      <c r="A15" s="6"/>
      <c r="U15" s="51"/>
    </row>
    <row r="16" ht="12.75">
      <c r="U16" s="51"/>
    </row>
    <row r="17" ht="12.75">
      <c r="U17" s="51"/>
    </row>
    <row r="18" ht="12.75">
      <c r="U18" s="51"/>
    </row>
    <row r="19" ht="12.75">
      <c r="U19" s="51"/>
    </row>
    <row r="20" spans="21:23" ht="12.75">
      <c r="U20" s="51"/>
      <c r="W20" t="s">
        <v>649</v>
      </c>
    </row>
    <row r="21" ht="12.75">
      <c r="U21" s="51"/>
    </row>
    <row r="22" ht="12.75">
      <c r="U22" s="51"/>
    </row>
    <row r="23" ht="12.75">
      <c r="U23" s="51"/>
    </row>
    <row r="24" ht="12.75">
      <c r="U24" s="51"/>
    </row>
    <row r="25" ht="12.75">
      <c r="U25" s="51"/>
    </row>
    <row r="26" ht="12.75">
      <c r="U26" s="51"/>
    </row>
    <row r="27" ht="12.75">
      <c r="U27" s="51"/>
    </row>
    <row r="28" ht="12.75">
      <c r="U28" s="51"/>
    </row>
    <row r="29" ht="12.75">
      <c r="U29" s="51"/>
    </row>
    <row r="30" ht="12.75">
      <c r="U30" s="51"/>
    </row>
    <row r="31" ht="12.75">
      <c r="U31" s="51"/>
    </row>
    <row r="32" ht="12.75">
      <c r="U32" s="51"/>
    </row>
    <row r="33" ht="12.75">
      <c r="U33" s="51"/>
    </row>
    <row r="34" ht="12.75">
      <c r="U34" s="51"/>
    </row>
    <row r="35" ht="12.75">
      <c r="U35" s="51"/>
    </row>
    <row r="36" ht="12.75">
      <c r="U36" s="51"/>
    </row>
    <row r="37" ht="12.75">
      <c r="U37" s="51"/>
    </row>
    <row r="38" ht="12.75">
      <c r="U38" s="51"/>
    </row>
    <row r="39" ht="12.75">
      <c r="U39" s="51"/>
    </row>
    <row r="40" ht="12.75">
      <c r="U40" s="51"/>
    </row>
    <row r="41" ht="12.75">
      <c r="U41" s="51"/>
    </row>
    <row r="42" ht="12.75">
      <c r="U42" s="51"/>
    </row>
    <row r="43" ht="12.75">
      <c r="U43" s="51"/>
    </row>
    <row r="44" ht="12.75">
      <c r="U44" s="51"/>
    </row>
    <row r="45" ht="12.75">
      <c r="U45" s="51"/>
    </row>
    <row r="46" ht="12.75">
      <c r="U46" s="51"/>
    </row>
    <row r="47" ht="12.75">
      <c r="U47" s="51"/>
    </row>
    <row r="48" ht="12.75">
      <c r="U48" s="51"/>
    </row>
    <row r="49" ht="12.75">
      <c r="U49" s="51"/>
    </row>
    <row r="50" ht="12.75">
      <c r="U50" s="51"/>
    </row>
    <row r="51" ht="12.75">
      <c r="U51" s="51"/>
    </row>
    <row r="52" ht="12.75">
      <c r="U52" s="51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96"/>
  <sheetViews>
    <sheetView zoomScale="75" zoomScaleNormal="75" workbookViewId="0" topLeftCell="A1">
      <selection activeCell="S32" sqref="S32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11" width="7.57421875" style="0" hidden="1" customWidth="1"/>
    <col min="12" max="14" width="7.57421875" style="0" customWidth="1"/>
    <col min="15" max="15" width="7.57421875" style="0" bestFit="1" customWidth="1"/>
    <col min="16" max="16" width="8.00390625" style="0" bestFit="1" customWidth="1"/>
    <col min="17" max="17" width="8.7109375" style="0" customWidth="1"/>
    <col min="18" max="18" width="8.00390625" style="0" bestFit="1" customWidth="1"/>
    <col min="19" max="19" width="9.28125" style="0" bestFit="1" customWidth="1"/>
    <col min="21" max="21" width="10.42187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s="22" customFormat="1" ht="12.75">
      <c r="A3" s="6" t="s">
        <v>414</v>
      </c>
      <c r="F3" s="26"/>
      <c r="G3" s="26"/>
      <c r="H3" s="26"/>
      <c r="I3" s="26"/>
      <c r="J3" s="26"/>
      <c r="K3" s="26"/>
      <c r="L3" s="26"/>
      <c r="M3" s="26"/>
      <c r="N3" s="26"/>
      <c r="O3" s="50">
        <v>8</v>
      </c>
      <c r="U3" s="26" t="s">
        <v>350</v>
      </c>
    </row>
    <row r="4" spans="3:21" s="22" customFormat="1" ht="12.75">
      <c r="C4" s="26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 t="s">
        <v>430</v>
      </c>
      <c r="Q4" s="26"/>
      <c r="R4" s="26" t="s">
        <v>425</v>
      </c>
      <c r="S4" s="26" t="s">
        <v>427</v>
      </c>
      <c r="T4" s="26" t="s">
        <v>428</v>
      </c>
      <c r="U4" s="26" t="s">
        <v>422</v>
      </c>
    </row>
    <row r="5" spans="3:21" s="22" customFormat="1" ht="12.75">
      <c r="C5" s="26" t="s">
        <v>112</v>
      </c>
      <c r="D5" s="26" t="s">
        <v>421</v>
      </c>
      <c r="E5" s="26" t="s">
        <v>421</v>
      </c>
      <c r="F5" s="26" t="s">
        <v>421</v>
      </c>
      <c r="G5" s="26" t="s">
        <v>421</v>
      </c>
      <c r="H5" s="26" t="s">
        <v>421</v>
      </c>
      <c r="I5" s="26" t="s">
        <v>421</v>
      </c>
      <c r="J5" s="26" t="s">
        <v>421</v>
      </c>
      <c r="K5" s="26" t="s">
        <v>421</v>
      </c>
      <c r="L5" s="26" t="s">
        <v>421</v>
      </c>
      <c r="M5" s="26" t="s">
        <v>421</v>
      </c>
      <c r="N5" s="26" t="s">
        <v>421</v>
      </c>
      <c r="O5" s="26" t="s">
        <v>421</v>
      </c>
      <c r="P5" s="26" t="s">
        <v>431</v>
      </c>
      <c r="Q5" s="26" t="s">
        <v>350</v>
      </c>
      <c r="R5" s="26" t="s">
        <v>426</v>
      </c>
      <c r="S5" s="26" t="s">
        <v>657</v>
      </c>
      <c r="T5" s="26" t="s">
        <v>417</v>
      </c>
      <c r="U5" s="26" t="s">
        <v>423</v>
      </c>
    </row>
    <row r="6" spans="1:22" s="22" customFormat="1" ht="12.75">
      <c r="A6" s="22" t="s">
        <v>121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26" t="s">
        <v>118</v>
      </c>
    </row>
    <row r="7" spans="1:21" ht="12.75" hidden="1">
      <c r="A7" s="22" t="s">
        <v>652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hidden="1">
      <c r="A8" t="s">
        <v>141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/>
      <c r="U8" s="75"/>
    </row>
    <row r="9" spans="2:21" s="22" customFormat="1" ht="12.75" hidden="1">
      <c r="B9" s="4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92"/>
    </row>
    <row r="10" spans="1:21" ht="12.75" hidden="1">
      <c r="A10" t="s">
        <v>159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2"/>
      <c r="O10" s="2"/>
      <c r="P10" s="31">
        <f>(12/$O$3)*O10</f>
        <v>0</v>
      </c>
      <c r="U10" s="92"/>
    </row>
    <row r="11" spans="1:21" ht="12.75">
      <c r="A11" s="22" t="s">
        <v>207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2"/>
      <c r="O11" s="2"/>
      <c r="P11" s="31"/>
      <c r="U11" s="92"/>
    </row>
    <row r="12" spans="1:21" ht="12.75" hidden="1">
      <c r="A12" t="s">
        <v>142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2"/>
      <c r="O12" s="2"/>
      <c r="P12" s="31"/>
      <c r="Q12" s="2"/>
      <c r="R12" s="2"/>
      <c r="S12" s="2"/>
      <c r="T12" s="2"/>
      <c r="U12" s="92"/>
    </row>
    <row r="13" spans="1:21" ht="12.75" hidden="1">
      <c r="A13" t="s">
        <v>266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2"/>
      <c r="O13" s="2"/>
      <c r="P13" s="31"/>
      <c r="R13" s="2"/>
      <c r="U13" s="92"/>
    </row>
    <row r="14" spans="1:21" ht="12.75">
      <c r="A14" t="s">
        <v>749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2"/>
      <c r="O14" s="2"/>
      <c r="P14" s="31"/>
      <c r="R14" s="2"/>
      <c r="U14" s="92"/>
    </row>
    <row r="15" spans="1:21" ht="12.75">
      <c r="A15" t="s">
        <v>141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2"/>
      <c r="O15" s="2">
        <v>226</v>
      </c>
      <c r="P15" s="31">
        <v>226</v>
      </c>
      <c r="R15" s="2"/>
      <c r="U15" s="92"/>
    </row>
    <row r="16" spans="1:21" ht="12.75" hidden="1">
      <c r="A16" t="s">
        <v>143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2"/>
      <c r="O16" s="2"/>
      <c r="P16" s="31"/>
      <c r="R16" s="2"/>
      <c r="U16" s="92"/>
    </row>
    <row r="17" spans="1:21" ht="12.75">
      <c r="A17" t="s">
        <v>1020</v>
      </c>
      <c r="B17" s="4">
        <v>51.27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134</v>
      </c>
      <c r="P17" s="2">
        <v>134</v>
      </c>
      <c r="Q17" s="2">
        <v>134</v>
      </c>
      <c r="R17" s="2">
        <v>140</v>
      </c>
      <c r="S17" s="2">
        <v>140</v>
      </c>
      <c r="T17" s="2">
        <v>140</v>
      </c>
      <c r="U17" s="89">
        <f>(T17-Q17)/Q17</f>
        <v>0.04477611940298507</v>
      </c>
    </row>
    <row r="18" spans="1:21" ht="12.75">
      <c r="A18" t="s">
        <v>207</v>
      </c>
      <c r="B18" s="4">
        <v>52.121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291</v>
      </c>
      <c r="P18" s="31">
        <v>291</v>
      </c>
      <c r="R18" s="2"/>
      <c r="U18" s="92"/>
    </row>
    <row r="19" spans="1:21" ht="12.75">
      <c r="A19" t="s">
        <v>144</v>
      </c>
      <c r="B19" s="4">
        <v>52.321</v>
      </c>
      <c r="C19" s="2"/>
      <c r="D19" s="2">
        <v>132</v>
      </c>
      <c r="E19" s="2">
        <v>99</v>
      </c>
      <c r="F19" s="2">
        <v>165</v>
      </c>
      <c r="G19" s="2">
        <v>111</v>
      </c>
      <c r="H19" s="2">
        <v>74</v>
      </c>
      <c r="I19" s="2">
        <v>93</v>
      </c>
      <c r="J19" s="2">
        <v>117</v>
      </c>
      <c r="K19" s="2">
        <v>162</v>
      </c>
      <c r="L19" s="2">
        <f>216+1128</f>
        <v>1344</v>
      </c>
      <c r="M19" s="2">
        <v>126</v>
      </c>
      <c r="N19" s="2">
        <v>137</v>
      </c>
      <c r="O19" s="2">
        <v>27</v>
      </c>
      <c r="P19" s="31">
        <v>54</v>
      </c>
      <c r="Q19" s="2">
        <v>82</v>
      </c>
      <c r="R19" s="2">
        <v>70</v>
      </c>
      <c r="S19" s="2">
        <v>70</v>
      </c>
      <c r="T19" s="2">
        <v>70</v>
      </c>
      <c r="U19" s="92">
        <f>(T19-Q19)/Q19</f>
        <v>-0.14634146341463414</v>
      </c>
    </row>
    <row r="20" spans="1:22" ht="12.75">
      <c r="A20" t="s">
        <v>145</v>
      </c>
      <c r="B20" s="4">
        <v>52.35</v>
      </c>
      <c r="C20" s="2">
        <v>1060</v>
      </c>
      <c r="D20" s="2">
        <v>50</v>
      </c>
      <c r="E20" s="2">
        <v>577</v>
      </c>
      <c r="F20" s="2">
        <v>800</v>
      </c>
      <c r="G20" s="2">
        <v>523</v>
      </c>
      <c r="H20" s="2">
        <v>891</v>
      </c>
      <c r="I20" s="2">
        <v>809</v>
      </c>
      <c r="J20" s="2">
        <v>791</v>
      </c>
      <c r="K20" s="2">
        <v>1235</v>
      </c>
      <c r="L20" s="2">
        <v>1528</v>
      </c>
      <c r="M20" s="2">
        <v>1240</v>
      </c>
      <c r="N20" s="2">
        <v>1010</v>
      </c>
      <c r="O20" s="2">
        <v>1132</v>
      </c>
      <c r="P20" s="31">
        <v>1600</v>
      </c>
      <c r="Q20" s="2">
        <v>1600</v>
      </c>
      <c r="R20" s="2">
        <v>1800</v>
      </c>
      <c r="S20" s="2">
        <v>1600</v>
      </c>
      <c r="T20" s="2">
        <v>1600</v>
      </c>
      <c r="U20" s="92">
        <f>(T20-Q20)/Q20</f>
        <v>0</v>
      </c>
      <c r="V20" s="33"/>
    </row>
    <row r="21" spans="1:21" ht="12.75">
      <c r="A21" t="s">
        <v>146</v>
      </c>
      <c r="B21" s="4">
        <v>52.3602</v>
      </c>
      <c r="C21" s="2">
        <v>35</v>
      </c>
      <c r="D21" s="2">
        <v>25</v>
      </c>
      <c r="E21" s="2">
        <v>25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30</v>
      </c>
      <c r="M21" s="2">
        <v>30</v>
      </c>
      <c r="N21" s="2">
        <v>30</v>
      </c>
      <c r="O21" s="2">
        <v>30</v>
      </c>
      <c r="P21" s="31">
        <v>30</v>
      </c>
      <c r="Q21" s="2">
        <v>30</v>
      </c>
      <c r="R21" s="2">
        <v>30</v>
      </c>
      <c r="S21" s="2">
        <v>30</v>
      </c>
      <c r="T21" s="2">
        <v>30</v>
      </c>
      <c r="U21" s="92">
        <f>(T21-Q21)/Q21</f>
        <v>0</v>
      </c>
    </row>
    <row r="22" spans="1:22" ht="12.75">
      <c r="A22" t="s">
        <v>147</v>
      </c>
      <c r="B22" s="4">
        <v>52.37</v>
      </c>
      <c r="C22" s="2"/>
      <c r="D22" s="2"/>
      <c r="E22" s="2">
        <v>230</v>
      </c>
      <c r="F22" s="2">
        <v>230</v>
      </c>
      <c r="G22" s="2">
        <v>250</v>
      </c>
      <c r="H22" s="2">
        <v>250</v>
      </c>
      <c r="I22" s="2"/>
      <c r="J22" s="2"/>
      <c r="K22" s="2">
        <v>295</v>
      </c>
      <c r="L22" s="2">
        <v>855</v>
      </c>
      <c r="M22" s="2">
        <v>900</v>
      </c>
      <c r="N22" s="2">
        <v>1050</v>
      </c>
      <c r="O22" s="2">
        <v>350</v>
      </c>
      <c r="P22" s="31">
        <v>1050</v>
      </c>
      <c r="Q22" s="2">
        <v>1050</v>
      </c>
      <c r="R22" s="2">
        <v>1200</v>
      </c>
      <c r="S22" s="2">
        <v>1050</v>
      </c>
      <c r="T22" s="2">
        <v>1050</v>
      </c>
      <c r="U22" s="92"/>
      <c r="V22" s="33"/>
    </row>
    <row r="23" spans="1:21" ht="12.75">
      <c r="A23" t="s">
        <v>485</v>
      </c>
      <c r="B23" s="4">
        <v>52.385</v>
      </c>
      <c r="C23" s="2"/>
      <c r="D23" s="2"/>
      <c r="E23" s="2"/>
      <c r="F23" s="2">
        <v>390</v>
      </c>
      <c r="G23" s="2">
        <v>3057</v>
      </c>
      <c r="H23" s="2">
        <v>105</v>
      </c>
      <c r="I23" s="2">
        <v>154</v>
      </c>
      <c r="J23" s="2">
        <v>112</v>
      </c>
      <c r="K23" s="2"/>
      <c r="L23" s="2">
        <v>0</v>
      </c>
      <c r="M23" s="2">
        <v>163</v>
      </c>
      <c r="N23" s="2"/>
      <c r="O23" s="2"/>
      <c r="P23" s="31"/>
      <c r="Q23" s="20"/>
      <c r="R23" s="2"/>
      <c r="S23" s="20"/>
      <c r="T23" s="20"/>
      <c r="U23" s="92"/>
    </row>
    <row r="24" spans="1:21" ht="12.75">
      <c r="A24" t="s">
        <v>148</v>
      </c>
      <c r="B24" s="4">
        <v>52.3854</v>
      </c>
      <c r="C24" s="2">
        <v>10691</v>
      </c>
      <c r="D24" s="2">
        <v>12450</v>
      </c>
      <c r="E24" s="2"/>
      <c r="F24" s="2">
        <v>9055</v>
      </c>
      <c r="G24" s="2">
        <v>8965</v>
      </c>
      <c r="H24" s="2">
        <v>17297</v>
      </c>
      <c r="I24" s="2">
        <v>10668</v>
      </c>
      <c r="J24" s="2">
        <v>12232</v>
      </c>
      <c r="K24" s="2">
        <v>16255</v>
      </c>
      <c r="L24" s="2">
        <v>14954</v>
      </c>
      <c r="M24" s="2">
        <v>12928</v>
      </c>
      <c r="N24" s="2">
        <v>9183</v>
      </c>
      <c r="O24" s="2">
        <v>10769</v>
      </c>
      <c r="P24" s="31">
        <v>10800</v>
      </c>
      <c r="Q24" s="2">
        <v>7200</v>
      </c>
      <c r="R24" s="2">
        <f>17000-2775-300-331-490</f>
        <v>13104</v>
      </c>
      <c r="S24" s="2">
        <v>13104</v>
      </c>
      <c r="T24" s="2">
        <v>13104</v>
      </c>
      <c r="U24" s="92">
        <f>(T24-Q24)/Q24</f>
        <v>0.82</v>
      </c>
    </row>
    <row r="25" spans="1:22" ht="12.75">
      <c r="A25" t="s">
        <v>149</v>
      </c>
      <c r="B25" s="4">
        <v>52.39</v>
      </c>
      <c r="C25" s="2"/>
      <c r="D25" s="2"/>
      <c r="E25" s="2">
        <v>634</v>
      </c>
      <c r="F25" s="2"/>
      <c r="G25" s="2">
        <v>462</v>
      </c>
      <c r="H25" s="2">
        <v>225</v>
      </c>
      <c r="I25" s="2">
        <v>200</v>
      </c>
      <c r="J25" s="2">
        <v>300</v>
      </c>
      <c r="K25" s="2">
        <v>2400</v>
      </c>
      <c r="L25" s="2">
        <v>2560</v>
      </c>
      <c r="M25" s="2">
        <v>1700</v>
      </c>
      <c r="N25" s="2">
        <v>2569</v>
      </c>
      <c r="O25" s="2">
        <v>2000</v>
      </c>
      <c r="P25" s="31">
        <v>2000</v>
      </c>
      <c r="Q25" s="2">
        <v>1000</v>
      </c>
      <c r="R25" s="2">
        <v>2500</v>
      </c>
      <c r="S25" s="2">
        <v>2500</v>
      </c>
      <c r="T25" s="2">
        <v>2500</v>
      </c>
      <c r="U25" s="92">
        <f>(T25-Q25)/Q25</f>
        <v>1.5</v>
      </c>
      <c r="V25" t="s">
        <v>372</v>
      </c>
    </row>
    <row r="26" spans="2:21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U26" s="92"/>
    </row>
    <row r="27" spans="1:21" ht="12.75" hidden="1">
      <c r="A27" t="s">
        <v>150</v>
      </c>
      <c r="B27" s="4">
        <v>53.12</v>
      </c>
      <c r="C27" s="2">
        <v>360</v>
      </c>
      <c r="D27" s="2"/>
      <c r="E27" s="2">
        <v>1543</v>
      </c>
      <c r="F27" s="2">
        <v>6247</v>
      </c>
      <c r="G27" s="2">
        <v>7345</v>
      </c>
      <c r="H27" s="2">
        <v>5930</v>
      </c>
      <c r="I27" s="2">
        <v>292</v>
      </c>
      <c r="J27" s="2">
        <v>276</v>
      </c>
      <c r="K27" s="2">
        <v>228</v>
      </c>
      <c r="L27" s="2">
        <v>0</v>
      </c>
      <c r="M27" s="2"/>
      <c r="N27" s="2"/>
      <c r="O27" s="2"/>
      <c r="P27" s="31"/>
      <c r="Q27" s="2"/>
      <c r="R27" s="2"/>
      <c r="S27" s="2"/>
      <c r="T27" s="2"/>
      <c r="U27" s="92"/>
    </row>
    <row r="28" spans="1:21" ht="12.75" hidden="1">
      <c r="A28" t="s">
        <v>366</v>
      </c>
      <c r="B28" s="4">
        <v>53.1704</v>
      </c>
      <c r="C28" s="2"/>
      <c r="D28" s="2"/>
      <c r="E28" s="2"/>
      <c r="F28" s="2"/>
      <c r="G28" s="2">
        <v>494</v>
      </c>
      <c r="H28" s="2">
        <v>128</v>
      </c>
      <c r="I28" s="2"/>
      <c r="J28" s="2">
        <v>2579</v>
      </c>
      <c r="K28" s="2">
        <v>290</v>
      </c>
      <c r="L28" s="2"/>
      <c r="M28" s="2"/>
      <c r="N28" s="2"/>
      <c r="O28" s="2"/>
      <c r="P28" s="31"/>
      <c r="Q28" s="2"/>
      <c r="R28" s="2"/>
      <c r="S28" s="2"/>
      <c r="T28" s="2"/>
      <c r="U28" s="92"/>
    </row>
    <row r="29" spans="1:21" ht="12.75" hidden="1">
      <c r="A29" t="s">
        <v>365</v>
      </c>
      <c r="B29" s="4">
        <v>53.123</v>
      </c>
      <c r="C29" s="2"/>
      <c r="D29" s="2">
        <v>6411</v>
      </c>
      <c r="E29" s="2">
        <v>5514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U29" s="92"/>
    </row>
    <row r="30" spans="1:21" ht="12.75">
      <c r="A30" t="s">
        <v>151</v>
      </c>
      <c r="B30" s="4">
        <v>53.171</v>
      </c>
      <c r="C30" s="2">
        <v>1981</v>
      </c>
      <c r="D30" s="2">
        <v>4544</v>
      </c>
      <c r="E30" s="2">
        <v>3490</v>
      </c>
      <c r="F30" s="2">
        <v>6334</v>
      </c>
      <c r="G30" s="2">
        <v>4205</v>
      </c>
      <c r="H30" s="2">
        <v>441</v>
      </c>
      <c r="I30" s="2">
        <v>337</v>
      </c>
      <c r="J30" s="2">
        <v>573</v>
      </c>
      <c r="K30" s="2">
        <v>2544</v>
      </c>
      <c r="L30" s="2">
        <f>3669+100</f>
        <v>3769</v>
      </c>
      <c r="M30" s="2">
        <v>2829</v>
      </c>
      <c r="N30" s="2">
        <v>3311</v>
      </c>
      <c r="O30" s="2">
        <v>2754</v>
      </c>
      <c r="P30" s="31">
        <v>2800</v>
      </c>
      <c r="Q30" s="2">
        <v>3400</v>
      </c>
      <c r="R30" s="2">
        <v>3400</v>
      </c>
      <c r="S30" s="2">
        <v>3400</v>
      </c>
      <c r="T30" s="2">
        <v>3400</v>
      </c>
      <c r="U30" s="92">
        <f>(T30-Q30)/Q30</f>
        <v>0</v>
      </c>
    </row>
    <row r="31" spans="1:21" ht="12.75">
      <c r="A31" t="s">
        <v>152</v>
      </c>
      <c r="B31" s="4">
        <v>53.172</v>
      </c>
      <c r="C31" s="2">
        <v>480</v>
      </c>
      <c r="D31" s="2"/>
      <c r="E31" s="2"/>
      <c r="F31" s="2">
        <v>680</v>
      </c>
      <c r="G31" s="2">
        <v>158</v>
      </c>
      <c r="H31" s="2"/>
      <c r="I31" s="2">
        <v>300</v>
      </c>
      <c r="J31" s="2">
        <v>347</v>
      </c>
      <c r="K31" s="2">
        <v>62</v>
      </c>
      <c r="L31" s="2"/>
      <c r="M31" s="2"/>
      <c r="N31" s="2"/>
      <c r="O31" s="2"/>
      <c r="P31" s="31"/>
      <c r="Q31" s="2"/>
      <c r="R31" s="2"/>
      <c r="S31" s="2"/>
      <c r="T31" s="2"/>
      <c r="U31" s="92"/>
    </row>
    <row r="32" spans="1:22" ht="12.75">
      <c r="A32" t="s">
        <v>41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>
        <v>6350</v>
      </c>
      <c r="R32" s="2">
        <v>5146</v>
      </c>
      <c r="S32" s="2">
        <v>5146</v>
      </c>
      <c r="T32" s="2"/>
      <c r="U32" s="92"/>
      <c r="V32" t="s">
        <v>510</v>
      </c>
    </row>
    <row r="33" spans="1:21" ht="12.75">
      <c r="A33" t="s">
        <v>557</v>
      </c>
      <c r="I33">
        <v>406</v>
      </c>
      <c r="P33" s="31"/>
      <c r="Q33" s="2"/>
      <c r="S33" s="2"/>
      <c r="T33" s="2"/>
      <c r="U33" s="92"/>
    </row>
    <row r="34" spans="1:21" s="22" customFormat="1" ht="12.75">
      <c r="A34" s="45" t="s">
        <v>119</v>
      </c>
      <c r="B34" s="45"/>
      <c r="C34" s="46">
        <f aca="true" t="shared" si="0" ref="C34:T34">SUM(C7:C33)</f>
        <v>28622</v>
      </c>
      <c r="D34" s="46">
        <f t="shared" si="0"/>
        <v>38749</v>
      </c>
      <c r="E34" s="46">
        <f t="shared" si="0"/>
        <v>21951</v>
      </c>
      <c r="F34" s="46">
        <f t="shared" si="0"/>
        <v>28703</v>
      </c>
      <c r="G34" s="46">
        <f t="shared" si="0"/>
        <v>25816</v>
      </c>
      <c r="H34" s="46">
        <f t="shared" si="0"/>
        <v>27615</v>
      </c>
      <c r="I34" s="46">
        <f t="shared" si="0"/>
        <v>18240</v>
      </c>
      <c r="J34" s="46">
        <v>31154</v>
      </c>
      <c r="K34" s="46">
        <f t="shared" si="0"/>
        <v>24155</v>
      </c>
      <c r="L34" s="46">
        <v>30235</v>
      </c>
      <c r="M34" s="46">
        <v>19916</v>
      </c>
      <c r="N34" s="46">
        <v>17290</v>
      </c>
      <c r="O34" s="46">
        <f t="shared" si="0"/>
        <v>17713</v>
      </c>
      <c r="P34" s="46">
        <f t="shared" si="0"/>
        <v>18985</v>
      </c>
      <c r="Q34" s="46">
        <f>SUM(Q7:Q33)</f>
        <v>20846</v>
      </c>
      <c r="R34" s="46">
        <f>SUM(R7:R33)</f>
        <v>27390</v>
      </c>
      <c r="S34" s="46">
        <f>SUM(S7:S33)</f>
        <v>27040</v>
      </c>
      <c r="T34" s="46">
        <f t="shared" si="0"/>
        <v>21894</v>
      </c>
      <c r="U34" s="52">
        <f>(T34-Q34)/Q34</f>
        <v>0.050273433752278614</v>
      </c>
    </row>
    <row r="35" s="22" customFormat="1" ht="12.75"/>
    <row r="36" spans="14:21" s="22" customFormat="1" ht="12.75">
      <c r="N36" s="31"/>
      <c r="P36" s="22" t="s">
        <v>484</v>
      </c>
      <c r="S36" s="55">
        <f>R34-S34</f>
        <v>350</v>
      </c>
      <c r="T36" s="54"/>
      <c r="U36" s="42"/>
    </row>
    <row r="37" spans="2:21" s="22" customFormat="1" ht="12.75">
      <c r="B37" s="4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92"/>
      <c r="O37" s="31"/>
      <c r="P37" s="22" t="s">
        <v>725</v>
      </c>
      <c r="S37" s="55">
        <f>Q34-S34</f>
        <v>-6194</v>
      </c>
      <c r="T37" s="31"/>
      <c r="U37" s="51"/>
    </row>
    <row r="38" spans="1:21" s="22" customFormat="1" ht="12.75">
      <c r="A38" s="45"/>
      <c r="B38" s="4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2" t="s">
        <v>432</v>
      </c>
      <c r="S38" s="55">
        <f>S34-T34</f>
        <v>5146</v>
      </c>
      <c r="T38" s="31"/>
      <c r="U38" s="51"/>
    </row>
    <row r="39" spans="1:21" s="22" customFormat="1" ht="12.75">
      <c r="A39" t="s">
        <v>1026</v>
      </c>
      <c r="B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</row>
    <row r="40" spans="1:21" s="22" customFormat="1" ht="12.75">
      <c r="A40" s="22" t="s">
        <v>1066</v>
      </c>
      <c r="B40" s="4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1"/>
    </row>
    <row r="41" spans="2:21" s="22" customFormat="1" ht="12.75">
      <c r="B41" s="4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51"/>
    </row>
    <row r="42" spans="2:21" s="22" customFormat="1" ht="12.75">
      <c r="B42" s="4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1"/>
    </row>
    <row r="43" spans="2:21" s="22" customFormat="1" ht="12.75">
      <c r="B43" s="4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51"/>
    </row>
    <row r="44" spans="2:21" s="22" customFormat="1" ht="12.75">
      <c r="B44" s="4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51"/>
    </row>
    <row r="45" spans="2:21" s="22" customFormat="1" ht="12.75">
      <c r="B45" s="4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1"/>
    </row>
    <row r="46" s="22" customFormat="1" ht="12.75"/>
    <row r="47" spans="19:21" s="22" customFormat="1" ht="12.75">
      <c r="S47" s="55"/>
      <c r="T47" s="54"/>
      <c r="U47" s="42"/>
    </row>
    <row r="48" s="22" customFormat="1" ht="12.75">
      <c r="S48" s="55"/>
    </row>
    <row r="91" spans="3:21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3:21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3:21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3:21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3:21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3:21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</sheetData>
  <printOptions gridLines="1"/>
  <pageMargins left="0.25" right="0.25" top="1" bottom="0.55" header="0.5" footer="0.25"/>
  <pageSetup fitToHeight="1" fitToWidth="1" horizontalDpi="300" verticalDpi="300" orientation="landscape" scale="99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86"/>
  <sheetViews>
    <sheetView zoomScale="75" zoomScaleNormal="75" workbookViewId="0" topLeftCell="A1">
      <selection activeCell="T10" sqref="T10:T2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11" width="8.00390625" style="0" hidden="1" customWidth="1"/>
    <col min="12" max="14" width="9.7109375" style="0" customWidth="1"/>
    <col min="15" max="15" width="7.57421875" style="0" bestFit="1" customWidth="1"/>
    <col min="16" max="16" width="8.00390625" style="0" bestFit="1" customWidth="1"/>
    <col min="19" max="19" width="11.00390625" style="0" bestFit="1" customWidth="1"/>
    <col min="20" max="20" width="8.7109375" style="0" bestFit="1" customWidth="1"/>
    <col min="21" max="21" width="9.85156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415</v>
      </c>
      <c r="O3" s="56">
        <v>8</v>
      </c>
      <c r="U3" s="1" t="s">
        <v>434</v>
      </c>
    </row>
    <row r="4" spans="3:21" ht="12.75">
      <c r="C4" s="1" t="s">
        <v>111</v>
      </c>
      <c r="O4" s="1" t="s">
        <v>430</v>
      </c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9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2" ht="12.75">
      <c r="A7" s="22" t="s">
        <v>729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14814</v>
      </c>
      <c r="N7" s="2">
        <v>12653</v>
      </c>
      <c r="O7" s="2">
        <v>6535</v>
      </c>
      <c r="P7" s="31">
        <f>(12/$O$3)*O7</f>
        <v>9802.5</v>
      </c>
      <c r="Q7" s="20">
        <v>11527</v>
      </c>
      <c r="R7" s="2">
        <f>12086+292</f>
        <v>12378</v>
      </c>
      <c r="S7" s="20">
        <v>11969</v>
      </c>
      <c r="T7" s="20">
        <v>11969</v>
      </c>
      <c r="U7" s="89">
        <f>(T7-Q18)/Q18</f>
        <v>0.006051945868706396</v>
      </c>
      <c r="V7" t="s">
        <v>989</v>
      </c>
    </row>
    <row r="8" spans="1:21" ht="12.75" hidden="1">
      <c r="A8" t="s">
        <v>154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2"/>
      <c r="O8" s="2"/>
      <c r="P8" s="31"/>
      <c r="Q8" s="2"/>
      <c r="R8" s="2"/>
      <c r="S8" s="2"/>
      <c r="T8" s="2"/>
      <c r="U8" s="89"/>
    </row>
    <row r="9" spans="1:21" ht="12.75">
      <c r="A9" t="s">
        <v>965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R9" s="2">
        <v>4468</v>
      </c>
      <c r="S9" s="2"/>
      <c r="T9" s="2"/>
      <c r="U9" s="89"/>
    </row>
    <row r="10" spans="1:21" ht="12.75">
      <c r="A10" t="s">
        <v>1104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5277</v>
      </c>
      <c r="O10" s="2"/>
      <c r="P10" s="31"/>
      <c r="Q10" s="2"/>
      <c r="R10" s="2">
        <v>2650</v>
      </c>
      <c r="S10" s="2"/>
      <c r="T10" s="2">
        <f>2272+336+619</f>
        <v>3227</v>
      </c>
      <c r="U10" s="89"/>
    </row>
    <row r="11" spans="1:21" ht="12.75">
      <c r="A11" t="s">
        <v>993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5252</v>
      </c>
      <c r="P11" s="31">
        <v>5252</v>
      </c>
      <c r="Q11" s="2">
        <v>3150</v>
      </c>
      <c r="R11" s="2"/>
      <c r="U11" s="89"/>
    </row>
    <row r="12" spans="1:21" ht="12.75">
      <c r="A12" t="s">
        <v>106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>
        <v>5668</v>
      </c>
      <c r="M12" s="2"/>
      <c r="N12" s="2"/>
      <c r="O12" s="2"/>
      <c r="P12" s="31"/>
      <c r="Q12" s="2"/>
      <c r="R12" s="2"/>
      <c r="S12" s="2"/>
      <c r="T12" s="2"/>
      <c r="U12" s="89"/>
    </row>
    <row r="13" spans="1:21" ht="12.75" hidden="1">
      <c r="A13" t="s">
        <v>913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R13" s="2"/>
      <c r="S13" s="2"/>
      <c r="T13" s="2"/>
      <c r="U13" s="89"/>
    </row>
    <row r="14" spans="1:21" ht="12.75" hidden="1">
      <c r="A14" t="s">
        <v>914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R14" s="2"/>
      <c r="S14" s="2"/>
      <c r="T14" s="2"/>
      <c r="U14" s="89"/>
    </row>
    <row r="15" spans="1:22" ht="12.75">
      <c r="A15" t="s">
        <v>915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2331</v>
      </c>
      <c r="N15" s="2"/>
      <c r="O15" s="2"/>
      <c r="P15" s="31"/>
      <c r="Q15" s="2"/>
      <c r="R15" s="2"/>
      <c r="S15" s="2"/>
      <c r="T15" s="2"/>
      <c r="U15" s="89"/>
      <c r="V15" s="2"/>
    </row>
    <row r="16" spans="1:21" ht="12.75">
      <c r="A16" t="s">
        <v>1105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R16" s="2"/>
      <c r="S16" s="2"/>
      <c r="T16" s="2">
        <f>2272+336+619</f>
        <v>3227</v>
      </c>
      <c r="U16" s="89"/>
    </row>
    <row r="17" spans="1:26" ht="12.75">
      <c r="A17" t="s">
        <v>730</v>
      </c>
      <c r="B17" s="4"/>
      <c r="C17" s="2"/>
      <c r="D17" s="2"/>
      <c r="E17" s="2"/>
      <c r="F17" s="2"/>
      <c r="G17" s="2"/>
      <c r="H17" s="2"/>
      <c r="I17" s="2"/>
      <c r="J17" s="2"/>
      <c r="K17" s="2">
        <v>581</v>
      </c>
      <c r="L17" s="2">
        <v>459</v>
      </c>
      <c r="M17" s="2"/>
      <c r="N17" s="2"/>
      <c r="O17" s="2"/>
      <c r="P17" s="178"/>
      <c r="Q17" s="2"/>
      <c r="R17" s="2">
        <v>2876</v>
      </c>
      <c r="S17" s="2"/>
      <c r="U17" s="89"/>
      <c r="Y17" s="4"/>
      <c r="Z17" s="157"/>
    </row>
    <row r="18" spans="1:21" ht="12.75">
      <c r="A18" t="s">
        <v>60</v>
      </c>
      <c r="B18" s="4">
        <v>51.1106</v>
      </c>
      <c r="C18" s="2"/>
      <c r="D18" s="2"/>
      <c r="E18" s="2"/>
      <c r="F18" s="2"/>
      <c r="G18" s="2"/>
      <c r="H18" s="2"/>
      <c r="I18" s="2"/>
      <c r="J18" s="2"/>
      <c r="K18" s="2">
        <v>19787</v>
      </c>
      <c r="L18" s="2">
        <v>14796</v>
      </c>
      <c r="M18" s="2">
        <v>16018</v>
      </c>
      <c r="N18" s="2">
        <v>11714</v>
      </c>
      <c r="O18" s="2">
        <v>8672</v>
      </c>
      <c r="P18" s="31">
        <f>(12/$O$3)*O18</f>
        <v>13008</v>
      </c>
      <c r="Q18" s="2">
        <v>11897</v>
      </c>
      <c r="R18" s="2">
        <v>12008</v>
      </c>
      <c r="S18" s="2">
        <v>11897</v>
      </c>
      <c r="T18" s="2">
        <v>11897</v>
      </c>
      <c r="U18" s="89"/>
    </row>
    <row r="19" spans="1:21" ht="12.75" hidden="1">
      <c r="A19" t="s">
        <v>490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1"/>
      <c r="Q19" s="2"/>
      <c r="R19" s="2"/>
      <c r="S19" s="2"/>
      <c r="T19" s="2"/>
      <c r="U19" s="89"/>
    </row>
    <row r="20" spans="1:21" ht="12.75">
      <c r="A20" t="s">
        <v>141</v>
      </c>
      <c r="B20" s="4">
        <v>51.22</v>
      </c>
      <c r="C20" s="2">
        <v>2106</v>
      </c>
      <c r="D20" s="2">
        <v>2159</v>
      </c>
      <c r="E20" s="2">
        <v>2081</v>
      </c>
      <c r="F20" s="2">
        <v>2269</v>
      </c>
      <c r="G20" s="2">
        <v>2017</v>
      </c>
      <c r="H20" s="2">
        <v>2334</v>
      </c>
      <c r="I20" s="2">
        <v>1920</v>
      </c>
      <c r="J20" s="2">
        <v>2119</v>
      </c>
      <c r="K20" s="2">
        <v>2724</v>
      </c>
      <c r="L20" s="2">
        <v>2995</v>
      </c>
      <c r="M20" s="2">
        <v>2391</v>
      </c>
      <c r="N20" s="2">
        <v>2309</v>
      </c>
      <c r="O20" s="2">
        <v>1565</v>
      </c>
      <c r="P20" s="31">
        <f>(12/$O$3)*O20</f>
        <v>2347.5</v>
      </c>
      <c r="Q20" s="2">
        <f>(Q7+Q18)*0.0765</f>
        <v>1791.936</v>
      </c>
      <c r="R20" s="2">
        <f>(SUM(R7:R19)*0.0765)</f>
        <v>2630.07</v>
      </c>
      <c r="S20" s="2">
        <f>(SUM(S7:S19)*0.0765)</f>
        <v>1825.749</v>
      </c>
      <c r="T20" s="2">
        <f>(SUM(T7:T19)*0.0765)</f>
        <v>2319.48</v>
      </c>
      <c r="U20" s="89">
        <f>(T20-Q20)/Q20</f>
        <v>0.2943989071038252</v>
      </c>
    </row>
    <row r="21" spans="1:21" ht="12.75">
      <c r="A21" t="s">
        <v>1018</v>
      </c>
      <c r="B21" s="4">
        <v>51.27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237</v>
      </c>
      <c r="P21" s="2">
        <v>237</v>
      </c>
      <c r="Q21" s="2">
        <v>237</v>
      </c>
      <c r="R21" s="2">
        <v>250</v>
      </c>
      <c r="S21" s="2">
        <v>250</v>
      </c>
      <c r="T21" s="2">
        <v>250</v>
      </c>
      <c r="U21" s="89"/>
    </row>
    <row r="22" spans="1:21" ht="12.75" hidden="1">
      <c r="A22" t="s">
        <v>155</v>
      </c>
      <c r="B22" s="4">
        <v>51.24</v>
      </c>
      <c r="C22" s="2">
        <v>234</v>
      </c>
      <c r="D22" s="2">
        <v>245</v>
      </c>
      <c r="E22" s="2">
        <v>531</v>
      </c>
      <c r="F22" s="2"/>
      <c r="G22" s="2">
        <v>88</v>
      </c>
      <c r="H22" s="2"/>
      <c r="I22" s="2"/>
      <c r="J22" s="2"/>
      <c r="K22" s="2"/>
      <c r="L22" s="2"/>
      <c r="M22" s="2"/>
      <c r="N22" s="2"/>
      <c r="O22" s="2"/>
      <c r="P22" s="31">
        <f>(12/$O$3)*O22</f>
        <v>0</v>
      </c>
      <c r="Q22" s="20"/>
      <c r="R22" s="2"/>
      <c r="S22" s="20"/>
      <c r="T22" s="20"/>
      <c r="U22" s="89"/>
    </row>
    <row r="23" spans="2:21" ht="12.75">
      <c r="B23" s="4"/>
      <c r="C23" s="2"/>
      <c r="D23" s="2"/>
      <c r="E23" s="2"/>
      <c r="F23" s="2"/>
      <c r="G23" s="2"/>
      <c r="H23" s="2"/>
      <c r="I23" s="2"/>
      <c r="J23" s="2">
        <v>40</v>
      </c>
      <c r="K23" s="2"/>
      <c r="L23" s="2"/>
      <c r="M23" s="2"/>
      <c r="N23" s="2"/>
      <c r="O23" s="2"/>
      <c r="P23" s="31"/>
      <c r="Q23" s="20"/>
      <c r="R23" s="2"/>
      <c r="S23" s="20"/>
      <c r="T23" s="20"/>
      <c r="U23" s="89"/>
    </row>
    <row r="24" spans="1:21" ht="12.75" hidden="1">
      <c r="A24" t="s">
        <v>207</v>
      </c>
      <c r="B24" s="4">
        <v>52.121</v>
      </c>
      <c r="C24" s="2"/>
      <c r="D24" s="2"/>
      <c r="E24" s="2"/>
      <c r="F24" s="2"/>
      <c r="G24" s="2"/>
      <c r="H24" s="2"/>
      <c r="I24" s="2"/>
      <c r="J24" s="2">
        <v>928</v>
      </c>
      <c r="K24" s="2"/>
      <c r="L24" s="2"/>
      <c r="M24" s="2"/>
      <c r="N24" s="2"/>
      <c r="O24" s="2"/>
      <c r="P24" s="31"/>
      <c r="Q24" s="2"/>
      <c r="R24" s="2"/>
      <c r="S24" s="2"/>
      <c r="T24" s="2"/>
      <c r="U24" s="89"/>
    </row>
    <row r="25" spans="1:22" ht="12.75">
      <c r="A25" t="s">
        <v>143</v>
      </c>
      <c r="B25" s="4">
        <v>52.32</v>
      </c>
      <c r="C25" s="2">
        <v>349</v>
      </c>
      <c r="D25" s="2">
        <v>517</v>
      </c>
      <c r="E25" s="2">
        <v>489</v>
      </c>
      <c r="F25" s="2">
        <v>559</v>
      </c>
      <c r="G25" s="2">
        <v>374</v>
      </c>
      <c r="H25" s="2">
        <v>391</v>
      </c>
      <c r="I25" s="2">
        <v>417</v>
      </c>
      <c r="J25" s="2">
        <v>513</v>
      </c>
      <c r="K25" s="2">
        <v>442</v>
      </c>
      <c r="L25" s="2">
        <v>491</v>
      </c>
      <c r="M25" s="2">
        <v>464</v>
      </c>
      <c r="N25" s="2">
        <v>479</v>
      </c>
      <c r="O25" s="2">
        <v>304</v>
      </c>
      <c r="P25" s="31">
        <f>(12/$O$3)*O25</f>
        <v>456</v>
      </c>
      <c r="Q25" s="2">
        <v>500</v>
      </c>
      <c r="R25" s="2">
        <f>550+230</f>
        <v>780</v>
      </c>
      <c r="S25" s="2">
        <v>500</v>
      </c>
      <c r="T25" s="2">
        <v>500</v>
      </c>
      <c r="U25" s="89">
        <f>(T25-Q25)/Q25</f>
        <v>0</v>
      </c>
      <c r="V25" t="s">
        <v>510</v>
      </c>
    </row>
    <row r="26" spans="1:22" ht="12.75">
      <c r="A26" t="s">
        <v>966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R26" s="2">
        <v>300</v>
      </c>
      <c r="S26" s="2"/>
      <c r="T26" s="2"/>
      <c r="U26" s="89"/>
      <c r="V26" t="s">
        <v>510</v>
      </c>
    </row>
    <row r="27" spans="1:21" ht="11.25" customHeight="1">
      <c r="A27" t="s">
        <v>144</v>
      </c>
      <c r="B27" s="4">
        <v>52.321</v>
      </c>
      <c r="C27" s="2">
        <v>1637</v>
      </c>
      <c r="D27" s="2">
        <v>1612</v>
      </c>
      <c r="E27" s="2">
        <v>874</v>
      </c>
      <c r="F27" s="2">
        <v>1100</v>
      </c>
      <c r="G27" s="2">
        <v>1241</v>
      </c>
      <c r="H27" s="2">
        <v>2054</v>
      </c>
      <c r="I27" s="2">
        <v>2746</v>
      </c>
      <c r="J27" s="2">
        <v>2982</v>
      </c>
      <c r="K27" s="2">
        <v>1938</v>
      </c>
      <c r="L27" s="2">
        <v>2165</v>
      </c>
      <c r="M27" s="2">
        <v>1800</v>
      </c>
      <c r="N27" s="2">
        <v>1999</v>
      </c>
      <c r="O27" s="2">
        <v>223</v>
      </c>
      <c r="P27" s="31">
        <v>2000</v>
      </c>
      <c r="Q27" s="2">
        <v>2000</v>
      </c>
      <c r="R27" s="2">
        <v>2500</v>
      </c>
      <c r="S27" s="2">
        <v>2000</v>
      </c>
      <c r="T27" s="2">
        <v>2000</v>
      </c>
      <c r="U27" s="89">
        <f>(T27-Q27)/Q27</f>
        <v>0</v>
      </c>
    </row>
    <row r="28" spans="1:21" ht="12.75" hidden="1">
      <c r="A28" t="s">
        <v>916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R28" s="2"/>
      <c r="S28" s="2"/>
      <c r="T28" s="2"/>
      <c r="U28" s="89"/>
    </row>
    <row r="29" spans="1:22" ht="12.75">
      <c r="A29" t="s">
        <v>156</v>
      </c>
      <c r="B29" s="4">
        <v>52.35</v>
      </c>
      <c r="C29" s="2">
        <v>821</v>
      </c>
      <c r="D29" s="2"/>
      <c r="E29" s="2">
        <v>71</v>
      </c>
      <c r="F29" s="2">
        <v>561</v>
      </c>
      <c r="G29" s="2">
        <v>635</v>
      </c>
      <c r="H29" s="2">
        <v>1218</v>
      </c>
      <c r="I29" s="2">
        <v>1129</v>
      </c>
      <c r="J29" s="2">
        <v>1393</v>
      </c>
      <c r="K29" s="2">
        <v>1367</v>
      </c>
      <c r="L29" s="2">
        <v>0</v>
      </c>
      <c r="M29" s="2">
        <v>1096</v>
      </c>
      <c r="N29" s="2"/>
      <c r="O29" s="2"/>
      <c r="P29" s="31">
        <v>750</v>
      </c>
      <c r="Q29" s="2">
        <v>750</v>
      </c>
      <c r="R29" s="2">
        <v>1200</v>
      </c>
      <c r="S29" s="2">
        <v>750</v>
      </c>
      <c r="T29" s="2">
        <v>750</v>
      </c>
      <c r="U29" s="89"/>
      <c r="V29" s="33" t="s">
        <v>511</v>
      </c>
    </row>
    <row r="30" spans="1:22" ht="12.75">
      <c r="A30" t="s">
        <v>157</v>
      </c>
      <c r="B30" s="4">
        <v>52.37</v>
      </c>
      <c r="C30" s="2"/>
      <c r="D30" s="2"/>
      <c r="E30" s="2">
        <v>238</v>
      </c>
      <c r="F30" s="2">
        <v>355</v>
      </c>
      <c r="G30" s="2">
        <v>765</v>
      </c>
      <c r="H30" s="2">
        <v>1200</v>
      </c>
      <c r="I30" s="2">
        <v>935</v>
      </c>
      <c r="J30" s="2">
        <v>1260</v>
      </c>
      <c r="K30" s="2">
        <v>1300</v>
      </c>
      <c r="L30" s="2">
        <v>1120</v>
      </c>
      <c r="M30" s="2">
        <v>630</v>
      </c>
      <c r="N30" s="2">
        <v>810</v>
      </c>
      <c r="O30" s="2"/>
      <c r="P30" s="31">
        <v>675</v>
      </c>
      <c r="Q30" s="2">
        <v>675</v>
      </c>
      <c r="R30" s="2">
        <v>1500</v>
      </c>
      <c r="S30" s="2">
        <v>675</v>
      </c>
      <c r="T30" s="2">
        <v>675</v>
      </c>
      <c r="U30" s="89"/>
      <c r="V30" s="33" t="s">
        <v>511</v>
      </c>
    </row>
    <row r="31" spans="1:21" ht="12.75" hidden="1">
      <c r="A31" t="s">
        <v>146</v>
      </c>
      <c r="B31" s="4">
        <v>52.3602</v>
      </c>
      <c r="C31" s="2"/>
      <c r="D31" s="2"/>
      <c r="E31" s="2"/>
      <c r="F31" s="2"/>
      <c r="G31" s="2">
        <v>60</v>
      </c>
      <c r="H31" s="2"/>
      <c r="I31" s="2"/>
      <c r="J31" s="2"/>
      <c r="K31" s="2"/>
      <c r="L31" s="2"/>
      <c r="M31" s="2"/>
      <c r="N31" s="2"/>
      <c r="O31" s="2"/>
      <c r="P31" s="31"/>
      <c r="Q31" s="2"/>
      <c r="R31" s="2"/>
      <c r="S31" s="2"/>
      <c r="T31" s="2"/>
      <c r="U31" s="89"/>
    </row>
    <row r="32" spans="1:21" ht="12.75">
      <c r="A32" t="s">
        <v>151</v>
      </c>
      <c r="B32" s="4">
        <v>53.171</v>
      </c>
      <c r="C32" s="2">
        <v>307</v>
      </c>
      <c r="D32" s="2">
        <v>259</v>
      </c>
      <c r="E32" s="2">
        <v>295</v>
      </c>
      <c r="F32" s="2">
        <v>386</v>
      </c>
      <c r="G32" s="2">
        <v>336</v>
      </c>
      <c r="H32" s="2">
        <v>435</v>
      </c>
      <c r="I32" s="2">
        <v>350</v>
      </c>
      <c r="J32" s="2">
        <v>459</v>
      </c>
      <c r="K32" s="2">
        <v>408</v>
      </c>
      <c r="L32" s="2">
        <f>1975-44</f>
        <v>1931</v>
      </c>
      <c r="M32" s="2">
        <v>584</v>
      </c>
      <c r="N32" s="2">
        <v>615</v>
      </c>
      <c r="O32" s="2">
        <v>162</v>
      </c>
      <c r="P32" s="31">
        <v>600</v>
      </c>
      <c r="Q32" s="2">
        <v>600</v>
      </c>
      <c r="R32" s="2">
        <v>800</v>
      </c>
      <c r="S32" s="2">
        <v>600</v>
      </c>
      <c r="T32" s="2">
        <v>600</v>
      </c>
      <c r="U32" s="89">
        <f>(T32-Q32)/Q32</f>
        <v>0</v>
      </c>
    </row>
    <row r="33" spans="1:21" ht="12.75" hidden="1">
      <c r="A33" t="s">
        <v>631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1"/>
      <c r="Q33" s="5"/>
      <c r="R33" s="2"/>
      <c r="S33" s="5"/>
      <c r="T33" s="5"/>
      <c r="U33" s="89"/>
    </row>
    <row r="34" spans="1:21" ht="12.75" hidden="1">
      <c r="A34" t="s">
        <v>749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1"/>
      <c r="Q34" s="5"/>
      <c r="R34" s="2"/>
      <c r="S34" s="5"/>
      <c r="T34" s="5"/>
      <c r="U34" s="89"/>
    </row>
    <row r="35" spans="1:21" ht="12.75" hidden="1">
      <c r="A35" t="s">
        <v>791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1"/>
      <c r="Q35" s="5"/>
      <c r="R35" s="2"/>
      <c r="S35" s="2"/>
      <c r="T35" s="5"/>
      <c r="U35" s="89"/>
    </row>
    <row r="36" spans="1:23" ht="12.75" hidden="1">
      <c r="A36" t="s">
        <v>229</v>
      </c>
      <c r="B36" s="4">
        <v>54.24</v>
      </c>
      <c r="C36" s="5"/>
      <c r="D36" s="5"/>
      <c r="E36" s="5"/>
      <c r="F36" s="2">
        <v>711</v>
      </c>
      <c r="G36" s="2">
        <v>279</v>
      </c>
      <c r="H36" s="2"/>
      <c r="I36" s="2">
        <v>25</v>
      </c>
      <c r="J36" s="2"/>
      <c r="K36" s="2"/>
      <c r="L36" s="2"/>
      <c r="M36" s="2"/>
      <c r="N36" s="2"/>
      <c r="O36" s="2"/>
      <c r="P36" s="31"/>
      <c r="Q36" s="2"/>
      <c r="R36" s="2"/>
      <c r="S36" s="2"/>
      <c r="T36" s="2"/>
      <c r="U36" s="51"/>
      <c r="W36" t="s">
        <v>649</v>
      </c>
    </row>
    <row r="37" spans="1:22" ht="12.75">
      <c r="A37" t="s">
        <v>896</v>
      </c>
      <c r="B37" s="4"/>
      <c r="C37" s="5"/>
      <c r="D37" s="5"/>
      <c r="E37" s="5"/>
      <c r="F37" s="2"/>
      <c r="G37" s="2"/>
      <c r="H37" s="2"/>
      <c r="I37" s="2"/>
      <c r="J37" s="2"/>
      <c r="K37" s="2"/>
      <c r="L37" s="2">
        <v>125</v>
      </c>
      <c r="M37" s="2"/>
      <c r="N37" s="2"/>
      <c r="O37" s="2"/>
      <c r="P37" s="31"/>
      <c r="Q37" s="2"/>
      <c r="R37" s="2">
        <v>250</v>
      </c>
      <c r="S37" s="2"/>
      <c r="T37" s="2"/>
      <c r="U37" s="51"/>
      <c r="V37" t="s">
        <v>575</v>
      </c>
    </row>
    <row r="38" spans="2:21" ht="12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1"/>
    </row>
    <row r="39" spans="1:21" ht="12.75">
      <c r="A39" s="6" t="s">
        <v>119</v>
      </c>
      <c r="B39" s="6"/>
      <c r="C39" s="7">
        <f>SUM(C7:C33)</f>
        <v>33390</v>
      </c>
      <c r="D39" s="8">
        <f>SUM(D7:D36)</f>
        <v>33566</v>
      </c>
      <c r="E39" s="8">
        <f>SUM(E7:E36)</f>
        <v>32383</v>
      </c>
      <c r="F39" s="8">
        <f>SUM(F7:F36)</f>
        <v>36267</v>
      </c>
      <c r="G39" s="8">
        <f>SUM(G7:G36)</f>
        <v>32659</v>
      </c>
      <c r="H39" s="8">
        <f>SUM(H7:H36)</f>
        <v>38139</v>
      </c>
      <c r="I39" s="8">
        <v>32727</v>
      </c>
      <c r="J39" s="8">
        <f>SUM(J7:J36)</f>
        <v>37396</v>
      </c>
      <c r="K39" s="8">
        <f>SUM(K7:K36)</f>
        <v>44368</v>
      </c>
      <c r="L39" s="8">
        <v>47976</v>
      </c>
      <c r="M39" s="8">
        <v>40128</v>
      </c>
      <c r="N39" s="8">
        <v>35856</v>
      </c>
      <c r="O39" s="8">
        <f>SUM(O7:O36)</f>
        <v>22950</v>
      </c>
      <c r="P39" s="8">
        <f>SUM(P7:P36)</f>
        <v>35128</v>
      </c>
      <c r="Q39" s="8">
        <f>SUM(Q7:Q38)</f>
        <v>33127.936</v>
      </c>
      <c r="R39" s="8">
        <f>SUM(R7:R38)</f>
        <v>44590.07</v>
      </c>
      <c r="S39" s="8">
        <f>SUM(S7:S38)</f>
        <v>30466.749</v>
      </c>
      <c r="T39" s="8">
        <f>SUM(T7:T38)</f>
        <v>37414.479999999996</v>
      </c>
      <c r="U39" s="52">
        <f>(T39-Q39)/Q39</f>
        <v>0.12939363321638855</v>
      </c>
    </row>
    <row r="40" spans="18:20" ht="12.75">
      <c r="R40" s="2"/>
      <c r="S40" s="2"/>
      <c r="T40" s="5"/>
    </row>
    <row r="41" spans="17:19" ht="12.75">
      <c r="Q41" s="22" t="s">
        <v>484</v>
      </c>
      <c r="R41" s="22"/>
      <c r="S41" s="55">
        <f>R39-S39</f>
        <v>14123.321</v>
      </c>
    </row>
    <row r="42" spans="17:20" ht="12.75">
      <c r="Q42" s="22" t="s">
        <v>725</v>
      </c>
      <c r="R42" s="22"/>
      <c r="S42" s="55">
        <f>Q39-S39</f>
        <v>2661.1870000000017</v>
      </c>
      <c r="T42" s="55"/>
    </row>
    <row r="43" spans="17:20" ht="12.75">
      <c r="Q43" s="22" t="s">
        <v>432</v>
      </c>
      <c r="R43" s="22"/>
      <c r="S43" s="55">
        <f>S39-T39</f>
        <v>-6947.730999999996</v>
      </c>
      <c r="T43" s="55"/>
    </row>
    <row r="45" ht="12.75">
      <c r="A45" t="s">
        <v>1024</v>
      </c>
    </row>
    <row r="46" ht="12.75">
      <c r="A46" t="s">
        <v>1068</v>
      </c>
    </row>
    <row r="47" spans="1:17" ht="12.75">
      <c r="A47" s="33" t="s">
        <v>1027</v>
      </c>
      <c r="P47" s="159"/>
      <c r="Q47" s="159"/>
    </row>
    <row r="48" ht="12.75">
      <c r="A48" s="33" t="s">
        <v>1028</v>
      </c>
    </row>
    <row r="49" ht="12.75">
      <c r="A49" s="22" t="s">
        <v>1067</v>
      </c>
    </row>
    <row r="52" spans="16:17" ht="12.75">
      <c r="P52" s="5"/>
      <c r="Q52" s="5"/>
    </row>
    <row r="53" ht="12.75">
      <c r="P53" s="5"/>
    </row>
    <row r="54" spans="16:17" ht="12.75">
      <c r="P54" s="5"/>
      <c r="Q54" s="5"/>
    </row>
    <row r="55" ht="12.75">
      <c r="Q55" s="5"/>
    </row>
    <row r="56" spans="22:24" ht="12.75">
      <c r="V56" s="2"/>
      <c r="X56" s="5"/>
    </row>
    <row r="57" spans="16:24" ht="12.75">
      <c r="P57" s="5"/>
      <c r="Q57" s="5"/>
      <c r="V57" s="2"/>
      <c r="X57" s="5"/>
    </row>
    <row r="58" ht="12.75">
      <c r="W58" s="2"/>
    </row>
    <row r="59" spans="22:24" ht="12.75">
      <c r="V59" s="5"/>
      <c r="W59" s="2"/>
      <c r="X59" s="5"/>
    </row>
    <row r="60" spans="17:23" ht="12.75">
      <c r="Q60" s="5"/>
      <c r="W60" s="2"/>
    </row>
    <row r="61" spans="17:23" ht="12.75">
      <c r="Q61" s="5"/>
      <c r="W61" s="2"/>
    </row>
    <row r="62" ht="12.75">
      <c r="Q62" s="5"/>
    </row>
    <row r="63" ht="12.75">
      <c r="X63" s="5"/>
    </row>
    <row r="64" spans="23:24" ht="12.75">
      <c r="W64" s="2"/>
      <c r="X64" s="5"/>
    </row>
    <row r="65" spans="23:24" ht="12.75">
      <c r="W65" s="2"/>
      <c r="X65" s="5"/>
    </row>
    <row r="66" spans="3:23" ht="12.75">
      <c r="C66" s="2"/>
      <c r="D66" s="2"/>
      <c r="E66" s="2"/>
      <c r="F66" s="2"/>
      <c r="G66" s="2"/>
      <c r="H66" s="2"/>
      <c r="I66" s="2"/>
      <c r="J66" s="2"/>
      <c r="K66" s="2"/>
      <c r="R66" s="2"/>
      <c r="S66" s="2"/>
      <c r="T66" s="2"/>
      <c r="W66" s="2"/>
    </row>
    <row r="67" spans="3:24" ht="12.75">
      <c r="C67" s="2"/>
      <c r="D67" s="2"/>
      <c r="E67" s="2"/>
      <c r="F67" s="2"/>
      <c r="G67" s="2"/>
      <c r="H67" s="2"/>
      <c r="I67" s="2"/>
      <c r="J67" s="2"/>
      <c r="K67" s="2"/>
      <c r="R67" s="2"/>
      <c r="S67" s="2"/>
      <c r="T67" s="2"/>
      <c r="W67" s="2"/>
      <c r="X67" s="5"/>
    </row>
    <row r="68" spans="3:23" ht="12.75">
      <c r="C68" s="2"/>
      <c r="D68" s="2"/>
      <c r="E68" s="2"/>
      <c r="F68" s="2"/>
      <c r="G68" s="2"/>
      <c r="H68" s="2"/>
      <c r="I68" s="2"/>
      <c r="J68" s="2"/>
      <c r="K68" s="2"/>
      <c r="R68" s="2"/>
      <c r="S68" s="2"/>
      <c r="T68" s="2"/>
      <c r="W68" s="2"/>
    </row>
    <row r="69" spans="3:23" ht="12.75">
      <c r="C69" s="2"/>
      <c r="D69" s="2"/>
      <c r="E69" s="2"/>
      <c r="F69" s="2"/>
      <c r="G69" s="2"/>
      <c r="H69" s="2"/>
      <c r="I69" s="2"/>
      <c r="J69" s="2"/>
      <c r="K69" s="2"/>
      <c r="P69" s="5"/>
      <c r="Q69" s="5"/>
      <c r="R69" s="2"/>
      <c r="S69" s="2"/>
      <c r="T69" s="2"/>
      <c r="W69" s="2"/>
    </row>
    <row r="70" spans="3:23" ht="12.75">
      <c r="C70" s="2"/>
      <c r="D70" s="2"/>
      <c r="E70" s="2"/>
      <c r="F70" s="2"/>
      <c r="G70" s="2"/>
      <c r="H70" s="2"/>
      <c r="I70" s="2"/>
      <c r="J70" s="2"/>
      <c r="K70" s="2"/>
      <c r="R70" s="2"/>
      <c r="S70" s="2"/>
      <c r="T70" s="2"/>
      <c r="W70" s="2"/>
    </row>
    <row r="71" spans="3:23" ht="12.75">
      <c r="C71" s="2"/>
      <c r="D71" s="2"/>
      <c r="E71" s="2"/>
      <c r="F71" s="2"/>
      <c r="G71" s="2"/>
      <c r="H71" s="2"/>
      <c r="I71" s="2"/>
      <c r="J71" s="2"/>
      <c r="K71" s="2"/>
      <c r="R71" s="2"/>
      <c r="S71" s="2"/>
      <c r="T71" s="2"/>
      <c r="W71" s="2"/>
    </row>
    <row r="72" ht="12.75">
      <c r="W72" s="2"/>
    </row>
    <row r="73" ht="12.75">
      <c r="W73" s="2"/>
    </row>
    <row r="74" spans="22:24" ht="12.75">
      <c r="V74" s="5"/>
      <c r="W74" s="2"/>
      <c r="X74" s="5"/>
    </row>
    <row r="76" ht="12.75">
      <c r="V76" s="126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  <row r="86" ht="12.75">
      <c r="U8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79"/>
  <sheetViews>
    <sheetView zoomScale="75" zoomScaleNormal="75" workbookViewId="0" topLeftCell="A1">
      <selection activeCell="T7" sqref="T7: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1" width="11.7109375" style="0" hidden="1" customWidth="1"/>
    <col min="12" max="15" width="11.7109375" style="0" customWidth="1"/>
    <col min="16" max="16" width="13.421875" style="0" bestFit="1" customWidth="1"/>
    <col min="17" max="18" width="11.7109375" style="0" customWidth="1"/>
    <col min="19" max="19" width="10.7109375" style="0" bestFit="1" customWidth="1"/>
    <col min="20" max="20" width="11.7109375" style="0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ht="12.75">
      <c r="A2" t="s">
        <v>110</v>
      </c>
    </row>
    <row r="3" spans="1:21" ht="12.75">
      <c r="A3" s="6" t="s">
        <v>436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9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38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3" t="s">
        <v>118</v>
      </c>
    </row>
    <row r="7" spans="1:21" ht="12.75">
      <c r="A7" t="s">
        <v>653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18623</v>
      </c>
      <c r="N7" s="2">
        <v>21826</v>
      </c>
      <c r="O7" s="2">
        <v>7734</v>
      </c>
      <c r="P7" s="31">
        <f>(12/$O$3)*O7</f>
        <v>11601</v>
      </c>
      <c r="Q7" s="2">
        <v>20000</v>
      </c>
      <c r="R7" s="2">
        <v>20000</v>
      </c>
      <c r="S7" s="2">
        <v>20000</v>
      </c>
      <c r="T7" s="2">
        <v>20000</v>
      </c>
      <c r="U7" s="51">
        <f>(T7-Q7)/Q7</f>
        <v>0</v>
      </c>
    </row>
    <row r="8" spans="1:21" ht="12.75">
      <c r="A8" t="s">
        <v>337</v>
      </c>
      <c r="B8" s="4">
        <v>52.1211</v>
      </c>
      <c r="C8" s="2"/>
      <c r="D8" s="2"/>
      <c r="E8" s="2">
        <v>3076</v>
      </c>
      <c r="F8" s="2">
        <v>18669</v>
      </c>
      <c r="G8" s="2">
        <v>17991</v>
      </c>
      <c r="H8" s="2">
        <v>38452</v>
      </c>
      <c r="I8" s="2">
        <f>35146+1733</f>
        <v>36879</v>
      </c>
      <c r="J8" s="2">
        <v>28400</v>
      </c>
      <c r="K8" s="2">
        <v>76325</v>
      </c>
      <c r="L8" s="2">
        <f>38335+3609</f>
        <v>41944</v>
      </c>
      <c r="M8" s="2">
        <v>56762</v>
      </c>
      <c r="N8" s="2">
        <v>41074</v>
      </c>
      <c r="O8" s="2">
        <v>19413</v>
      </c>
      <c r="P8" s="31">
        <f>(12/$O$3)*O8</f>
        <v>29119.5</v>
      </c>
      <c r="Q8" s="2">
        <v>40000</v>
      </c>
      <c r="R8" s="2">
        <v>40000</v>
      </c>
      <c r="S8" s="2">
        <v>40000</v>
      </c>
      <c r="T8" s="2">
        <v>40000</v>
      </c>
      <c r="U8" s="51">
        <f>(T8-Q8)/Q8</f>
        <v>0</v>
      </c>
    </row>
    <row r="9" spans="1:22" s="183" customFormat="1" ht="12.75">
      <c r="A9" s="33" t="s">
        <v>926</v>
      </c>
      <c r="B9" s="34">
        <v>52.1251</v>
      </c>
      <c r="C9" s="20"/>
      <c r="D9" s="33"/>
      <c r="E9" s="20"/>
      <c r="F9" s="20"/>
      <c r="G9" s="20"/>
      <c r="H9" s="20"/>
      <c r="I9" s="20"/>
      <c r="J9" s="20"/>
      <c r="K9" s="20"/>
      <c r="L9" s="20"/>
      <c r="M9" s="20">
        <v>28796</v>
      </c>
      <c r="N9" s="20">
        <v>15230</v>
      </c>
      <c r="O9" s="20">
        <v>7665</v>
      </c>
      <c r="P9" s="20">
        <v>15000</v>
      </c>
      <c r="Q9" s="20">
        <v>15000</v>
      </c>
      <c r="R9" s="20">
        <v>15000</v>
      </c>
      <c r="S9" s="20">
        <v>15000</v>
      </c>
      <c r="T9" s="20">
        <v>15000</v>
      </c>
      <c r="U9" s="131"/>
      <c r="V9" s="33" t="s">
        <v>372</v>
      </c>
    </row>
    <row r="10" spans="2:21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1"/>
    </row>
    <row r="11" spans="1:21" ht="12.75">
      <c r="A11" s="6" t="s">
        <v>119</v>
      </c>
      <c r="B11" s="6"/>
      <c r="C11" s="8">
        <f>SUM(C7:C8)</f>
        <v>85176</v>
      </c>
      <c r="D11" s="8">
        <f>SUM(D7:D8)</f>
        <v>74778</v>
      </c>
      <c r="E11" s="8">
        <f>SUM(E7:E10)</f>
        <v>61939</v>
      </c>
      <c r="F11" s="8">
        <f>SUM(F7:F10)</f>
        <v>57048</v>
      </c>
      <c r="G11" s="8">
        <f>SUM(G7:G10)</f>
        <v>68499</v>
      </c>
      <c r="H11" s="8">
        <f>SUM(H7:H10)</f>
        <v>73693</v>
      </c>
      <c r="I11" s="8">
        <v>73151</v>
      </c>
      <c r="J11" s="8">
        <v>54328</v>
      </c>
      <c r="K11" s="8">
        <f>SUM(K7:K8)</f>
        <v>93011</v>
      </c>
      <c r="L11" s="8">
        <v>59429</v>
      </c>
      <c r="M11" s="8">
        <v>75385</v>
      </c>
      <c r="N11" s="8">
        <v>78130</v>
      </c>
      <c r="O11" s="8">
        <f>SUM(O7:O9)</f>
        <v>34812</v>
      </c>
      <c r="P11" s="8">
        <f>SUM(P7:P9)</f>
        <v>55720.5</v>
      </c>
      <c r="Q11" s="8">
        <f>SUM(Q7:Q9)</f>
        <v>75000</v>
      </c>
      <c r="R11" s="8">
        <f>SUM(R7:R9)</f>
        <v>75000</v>
      </c>
      <c r="S11" s="8">
        <f>SUM(S7:S9)</f>
        <v>75000</v>
      </c>
      <c r="T11" s="8">
        <f>SUM(T7:T10)</f>
        <v>75000</v>
      </c>
      <c r="U11" s="59">
        <f>(T11-Q11)/Q11</f>
        <v>0</v>
      </c>
    </row>
    <row r="13" spans="14:19" ht="12.75">
      <c r="N13" s="2"/>
      <c r="Q13" s="22" t="s">
        <v>484</v>
      </c>
      <c r="R13" s="22"/>
      <c r="S13" s="55">
        <f>R11-S11</f>
        <v>0</v>
      </c>
    </row>
    <row r="14" spans="14:19" ht="12.75">
      <c r="N14" s="75"/>
      <c r="Q14" s="22" t="s">
        <v>725</v>
      </c>
      <c r="R14" s="22"/>
      <c r="S14" s="55">
        <f>Q11-S11</f>
        <v>0</v>
      </c>
    </row>
    <row r="15" spans="17:19" ht="12.75">
      <c r="Q15" s="22" t="s">
        <v>432</v>
      </c>
      <c r="R15" s="22"/>
      <c r="S15" s="55">
        <f>S11-T11</f>
        <v>0</v>
      </c>
    </row>
    <row r="16" ht="12.75">
      <c r="A16" s="33" t="s">
        <v>991</v>
      </c>
    </row>
    <row r="18" ht="12.75">
      <c r="W18" t="s">
        <v>649</v>
      </c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61"/>
  <sheetViews>
    <sheetView zoomScale="75" zoomScaleNormal="75" workbookViewId="0" topLeftCell="A1">
      <selection activeCell="A11" sqref="A11:I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11" width="11.7109375" style="0" hidden="1" customWidth="1"/>
    <col min="12" max="15" width="11.7109375" style="0" customWidth="1"/>
    <col min="16" max="16" width="13.421875" style="0" bestFit="1" customWidth="1"/>
    <col min="17" max="17" width="11.7109375" style="0" customWidth="1"/>
    <col min="18" max="19" width="12.00390625" style="0" bestFit="1" customWidth="1"/>
    <col min="20" max="20" width="11.7109375" style="0" customWidth="1"/>
    <col min="21" max="21" width="10.28125" style="0" bestFit="1" customWidth="1"/>
    <col min="22" max="22" width="11.7109375" style="0" customWidth="1"/>
  </cols>
  <sheetData>
    <row r="1" ht="12.75">
      <c r="A1" t="s">
        <v>109</v>
      </c>
    </row>
    <row r="2" spans="1:15" ht="12.75">
      <c r="A2" t="s">
        <v>110</v>
      </c>
      <c r="L2" s="159"/>
      <c r="M2" s="159"/>
      <c r="N2" s="159"/>
      <c r="O2" s="159"/>
    </row>
    <row r="3" spans="1:21" ht="12.75">
      <c r="A3" s="6" t="s">
        <v>437</v>
      </c>
      <c r="O3" s="56">
        <v>8</v>
      </c>
      <c r="P3" s="9"/>
      <c r="U3" s="1" t="s">
        <v>434</v>
      </c>
    </row>
    <row r="4" spans="3:21" ht="12.75">
      <c r="C4" s="1" t="s">
        <v>111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 t="s">
        <v>430</v>
      </c>
      <c r="P4" s="9"/>
      <c r="Q4" s="1"/>
      <c r="R4" s="3" t="s">
        <v>114</v>
      </c>
      <c r="S4" s="3" t="s">
        <v>598</v>
      </c>
      <c r="T4" s="3" t="s">
        <v>599</v>
      </c>
      <c r="U4" s="1" t="s">
        <v>435</v>
      </c>
    </row>
    <row r="5" spans="3:21" ht="12.75">
      <c r="C5" s="1" t="s">
        <v>112</v>
      </c>
      <c r="D5" s="1" t="s">
        <v>421</v>
      </c>
      <c r="E5" s="1" t="s">
        <v>421</v>
      </c>
      <c r="F5" s="1" t="s">
        <v>421</v>
      </c>
      <c r="G5" s="1" t="s">
        <v>421</v>
      </c>
      <c r="H5" s="1" t="s">
        <v>421</v>
      </c>
      <c r="I5" s="1" t="s">
        <v>421</v>
      </c>
      <c r="J5" s="1" t="s">
        <v>421</v>
      </c>
      <c r="K5" s="1" t="s">
        <v>421</v>
      </c>
      <c r="L5" s="1" t="s">
        <v>421</v>
      </c>
      <c r="M5" s="1" t="s">
        <v>421</v>
      </c>
      <c r="N5" s="1" t="s">
        <v>421</v>
      </c>
      <c r="O5" s="1" t="s">
        <v>421</v>
      </c>
      <c r="P5" s="1" t="s">
        <v>431</v>
      </c>
      <c r="Q5" s="1" t="s">
        <v>350</v>
      </c>
      <c r="R5" s="3" t="s">
        <v>115</v>
      </c>
      <c r="S5" s="3" t="s">
        <v>116</v>
      </c>
      <c r="T5" s="3" t="s">
        <v>117</v>
      </c>
      <c r="U5" s="1" t="s">
        <v>423</v>
      </c>
    </row>
    <row r="6" spans="1:22" ht="12.75">
      <c r="A6" t="s">
        <v>121</v>
      </c>
      <c r="C6" s="1">
        <v>1999</v>
      </c>
      <c r="D6" s="38">
        <v>2000</v>
      </c>
      <c r="E6" s="38">
        <v>2001</v>
      </c>
      <c r="F6" s="38">
        <v>2002</v>
      </c>
      <c r="G6" s="38">
        <v>2003</v>
      </c>
      <c r="H6" s="38">
        <v>2004</v>
      </c>
      <c r="I6" s="38">
        <v>2005</v>
      </c>
      <c r="J6" s="38">
        <v>2006</v>
      </c>
      <c r="K6" s="38">
        <v>2007</v>
      </c>
      <c r="L6" s="38">
        <v>2008</v>
      </c>
      <c r="M6" s="38">
        <v>2009</v>
      </c>
      <c r="N6" s="38">
        <v>2010</v>
      </c>
      <c r="O6" s="23">
        <v>2011</v>
      </c>
      <c r="P6" s="23">
        <v>2011</v>
      </c>
      <c r="Q6" s="23">
        <v>2011</v>
      </c>
      <c r="R6" s="23">
        <v>2012</v>
      </c>
      <c r="S6" s="23">
        <v>2012</v>
      </c>
      <c r="T6" s="23">
        <v>2012</v>
      </c>
      <c r="U6" s="151" t="s">
        <v>1008</v>
      </c>
      <c r="V6" s="57" t="s">
        <v>118</v>
      </c>
    </row>
    <row r="7" spans="1:22" ht="12.75">
      <c r="A7" s="22" t="s">
        <v>652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151575</v>
      </c>
      <c r="N7" s="2">
        <f>159277+3748</f>
        <v>163025</v>
      </c>
      <c r="O7" s="2">
        <v>109208</v>
      </c>
      <c r="P7" s="2">
        <f>+O7/$O$3*12</f>
        <v>163812</v>
      </c>
      <c r="Q7" s="2">
        <v>164608.24</v>
      </c>
      <c r="R7" s="2">
        <v>167558</v>
      </c>
      <c r="S7" s="2">
        <v>167558</v>
      </c>
      <c r="T7" s="2">
        <v>167558</v>
      </c>
      <c r="U7" s="89">
        <f>(T7-Q7)/Q7</f>
        <v>0.017919880560049787</v>
      </c>
      <c r="V7" s="33" t="s">
        <v>372</v>
      </c>
    </row>
    <row r="8" spans="1:22" ht="12.75" hidden="1">
      <c r="A8" t="s">
        <v>318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O8" s="2"/>
      <c r="P8" s="2"/>
      <c r="R8" s="2"/>
      <c r="U8" s="89"/>
      <c r="V8" s="33"/>
    </row>
    <row r="9" spans="1:22" ht="12.75" hidden="1">
      <c r="A9" t="s">
        <v>898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"/>
      <c r="U9" s="89"/>
      <c r="V9" s="33"/>
    </row>
    <row r="10" spans="1:22" ht="12.75">
      <c r="A10" t="s">
        <v>490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20875</v>
      </c>
      <c r="N10" s="2">
        <v>22728</v>
      </c>
      <c r="O10" s="2">
        <v>15926</v>
      </c>
      <c r="P10" s="2">
        <f>+O10/$O$3*12</f>
        <v>23889</v>
      </c>
      <c r="Q10" s="31">
        <v>24800</v>
      </c>
      <c r="R10" s="31">
        <v>26755</v>
      </c>
      <c r="S10" s="31">
        <f>5*5351</f>
        <v>26755</v>
      </c>
      <c r="T10" s="31">
        <f>5*5351</f>
        <v>26755</v>
      </c>
      <c r="U10" s="89">
        <f>(T10-Q10)/Q10</f>
        <v>0.07883064516129032</v>
      </c>
      <c r="V10" s="33" t="s">
        <v>510</v>
      </c>
    </row>
    <row r="11" spans="1:22" s="22" customFormat="1" ht="12.75">
      <c r="A11" s="22" t="s">
        <v>351</v>
      </c>
      <c r="B11" s="48">
        <v>51.211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  <c r="P11" s="31"/>
      <c r="Q11" s="31"/>
      <c r="R11" s="31">
        <v>1200</v>
      </c>
      <c r="S11" s="31">
        <v>1200</v>
      </c>
      <c r="T11" s="31">
        <v>1200</v>
      </c>
      <c r="U11" s="51"/>
      <c r="V11" s="22" t="s">
        <v>575</v>
      </c>
    </row>
    <row r="12" spans="1:22" ht="12.75">
      <c r="A12" t="s">
        <v>141</v>
      </c>
      <c r="B12" s="4">
        <v>51.22</v>
      </c>
      <c r="C12" s="2">
        <v>8290</v>
      </c>
      <c r="D12" s="2">
        <v>9431</v>
      </c>
      <c r="E12" s="2">
        <v>10050</v>
      </c>
      <c r="F12" s="2">
        <v>11671</v>
      </c>
      <c r="G12" s="2">
        <v>11753</v>
      </c>
      <c r="H12" s="2">
        <v>12519</v>
      </c>
      <c r="I12" s="2">
        <v>10355</v>
      </c>
      <c r="J12" s="2">
        <v>10548</v>
      </c>
      <c r="K12" s="2">
        <v>10813</v>
      </c>
      <c r="L12" s="2">
        <v>11052.49</v>
      </c>
      <c r="M12" s="2">
        <v>11055</v>
      </c>
      <c r="N12" s="2">
        <f>11755+287</f>
        <v>12042</v>
      </c>
      <c r="O12" s="2">
        <v>8073</v>
      </c>
      <c r="P12" s="2">
        <f>(P7+P8)*0.0765</f>
        <v>12531.618</v>
      </c>
      <c r="Q12" s="2">
        <f>(Q7+Q8)*0.0765</f>
        <v>12592.530359999999</v>
      </c>
      <c r="R12" s="2">
        <v>12618</v>
      </c>
      <c r="S12" s="2">
        <f>S7*0.0765</f>
        <v>12818.187</v>
      </c>
      <c r="T12" s="2">
        <f>T7*0.0765</f>
        <v>12818.187</v>
      </c>
      <c r="U12" s="89">
        <f>(T12-Q12)/Q12</f>
        <v>0.017919880560049815</v>
      </c>
      <c r="V12" s="33"/>
    </row>
    <row r="13" spans="1:21" ht="12.75">
      <c r="A13" t="s">
        <v>155</v>
      </c>
      <c r="B13" s="4">
        <v>51.24</v>
      </c>
      <c r="C13" s="2">
        <v>1980</v>
      </c>
      <c r="D13" s="2">
        <v>2072</v>
      </c>
      <c r="E13" s="2">
        <v>2319</v>
      </c>
      <c r="F13" s="2">
        <v>2621</v>
      </c>
      <c r="G13" s="2">
        <v>2700</v>
      </c>
      <c r="H13" s="2">
        <v>3037</v>
      </c>
      <c r="I13" s="2">
        <v>1493</v>
      </c>
      <c r="J13" s="2">
        <v>1991</v>
      </c>
      <c r="K13" s="2">
        <v>3068</v>
      </c>
      <c r="L13" s="2">
        <v>2818</v>
      </c>
      <c r="M13" s="2">
        <v>936</v>
      </c>
      <c r="N13" s="2">
        <f>3211+28</f>
        <v>3239</v>
      </c>
      <c r="O13" s="2">
        <v>2374</v>
      </c>
      <c r="P13" s="2">
        <f>+O13/$O$3*12</f>
        <v>3561</v>
      </c>
      <c r="Q13" s="2">
        <v>3500</v>
      </c>
      <c r="R13" s="2">
        <v>4000</v>
      </c>
      <c r="S13" s="2">
        <v>4000</v>
      </c>
      <c r="T13" s="2">
        <v>4000</v>
      </c>
      <c r="U13" s="89">
        <f>(T13-Q13)/Q13</f>
        <v>0.14285714285714285</v>
      </c>
    </row>
    <row r="14" spans="1:21" ht="12.75" hidden="1">
      <c r="A14" t="s">
        <v>705</v>
      </c>
      <c r="B14" s="4">
        <v>51.26</v>
      </c>
      <c r="C14" s="2"/>
      <c r="D14" s="2"/>
      <c r="E14" s="2"/>
      <c r="F14" s="2"/>
      <c r="G14" s="2"/>
      <c r="H14" s="2"/>
      <c r="I14" s="2"/>
      <c r="J14" s="2">
        <v>3262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89"/>
    </row>
    <row r="15" spans="2:21" ht="12.75">
      <c r="B15" s="4"/>
      <c r="C15" s="2"/>
      <c r="D15" s="2"/>
      <c r="E15" s="2"/>
      <c r="F15" s="2"/>
      <c r="G15" s="2"/>
      <c r="H15" s="2"/>
      <c r="I15" s="2"/>
      <c r="J15" s="2">
        <v>208</v>
      </c>
      <c r="K15" s="2"/>
      <c r="L15" s="2"/>
      <c r="M15" s="2"/>
      <c r="N15" s="2"/>
      <c r="O15" s="2"/>
      <c r="P15" s="2"/>
      <c r="R15" s="2"/>
      <c r="U15" s="89"/>
    </row>
    <row r="16" spans="1:22" ht="12.75">
      <c r="A16" t="s">
        <v>207</v>
      </c>
      <c r="B16" s="4">
        <v>52.121</v>
      </c>
      <c r="C16" s="2"/>
      <c r="D16" s="2"/>
      <c r="E16" s="2"/>
      <c r="F16" s="2"/>
      <c r="G16" s="2"/>
      <c r="H16" s="2"/>
      <c r="I16" s="2">
        <f>1601+542</f>
        <v>2143</v>
      </c>
      <c r="J16" s="2">
        <v>2801</v>
      </c>
      <c r="K16" s="2">
        <v>3137</v>
      </c>
      <c r="L16" s="2">
        <v>2209</v>
      </c>
      <c r="M16" s="2">
        <v>3030</v>
      </c>
      <c r="N16" s="2">
        <v>999</v>
      </c>
      <c r="O16" s="2">
        <v>461</v>
      </c>
      <c r="P16" s="2">
        <f aca="true" t="shared" si="0" ref="P16:P21">+O16/$O$3*12</f>
        <v>691.5</v>
      </c>
      <c r="Q16" s="2">
        <v>2500</v>
      </c>
      <c r="R16" s="2">
        <v>2500</v>
      </c>
      <c r="S16" s="2">
        <v>1000</v>
      </c>
      <c r="T16" s="2">
        <v>1000</v>
      </c>
      <c r="U16" s="89"/>
      <c r="V16" s="2"/>
    </row>
    <row r="17" spans="1:21" ht="12.75">
      <c r="A17" t="s">
        <v>566</v>
      </c>
      <c r="B17" s="4">
        <v>52.1211</v>
      </c>
      <c r="C17" s="2"/>
      <c r="D17" s="2"/>
      <c r="E17" s="2"/>
      <c r="F17" s="2"/>
      <c r="G17" s="2"/>
      <c r="H17" s="2"/>
      <c r="I17" s="2">
        <v>3082</v>
      </c>
      <c r="J17" s="2"/>
      <c r="K17" s="2"/>
      <c r="L17" s="2">
        <v>1190</v>
      </c>
      <c r="M17" s="2"/>
      <c r="N17" s="2"/>
      <c r="O17" s="2"/>
      <c r="P17" s="2"/>
      <c r="Q17" s="2"/>
      <c r="R17" s="2"/>
      <c r="S17" s="2"/>
      <c r="T17" s="2"/>
      <c r="U17" s="89"/>
    </row>
    <row r="18" spans="1:21" ht="12.75">
      <c r="A18" t="s">
        <v>77</v>
      </c>
      <c r="B18" s="4">
        <v>52.1302</v>
      </c>
      <c r="C18" s="2"/>
      <c r="D18" s="2"/>
      <c r="E18" s="2"/>
      <c r="F18" s="2"/>
      <c r="G18" s="2">
        <v>685</v>
      </c>
      <c r="H18" s="2"/>
      <c r="I18" s="2">
        <v>3090</v>
      </c>
      <c r="J18" s="2"/>
      <c r="K18" s="2"/>
      <c r="L18" s="2">
        <v>1545</v>
      </c>
      <c r="M18" s="2"/>
      <c r="N18" s="2">
        <v>1200</v>
      </c>
      <c r="O18" s="2"/>
      <c r="P18" s="2">
        <v>1200</v>
      </c>
      <c r="R18" s="2">
        <v>1200</v>
      </c>
      <c r="S18">
        <v>1200</v>
      </c>
      <c r="T18">
        <v>1200</v>
      </c>
      <c r="U18" s="89"/>
    </row>
    <row r="19" spans="1:21" ht="12.75">
      <c r="A19" t="s">
        <v>162</v>
      </c>
      <c r="B19" s="4">
        <v>52.1305</v>
      </c>
      <c r="C19" s="2"/>
      <c r="D19" s="2"/>
      <c r="E19" s="2">
        <v>791</v>
      </c>
      <c r="F19" s="2"/>
      <c r="G19" s="2"/>
      <c r="H19" s="2"/>
      <c r="I19" s="2"/>
      <c r="J19" s="2"/>
      <c r="K19" s="2"/>
      <c r="L19" s="2"/>
      <c r="M19" s="2"/>
      <c r="N19" s="2"/>
      <c r="O19" s="2">
        <v>1350</v>
      </c>
      <c r="P19" s="2">
        <f t="shared" si="0"/>
        <v>2025</v>
      </c>
      <c r="R19" s="2">
        <v>2000</v>
      </c>
      <c r="S19">
        <v>2000</v>
      </c>
      <c r="T19">
        <v>2000</v>
      </c>
      <c r="U19" s="89"/>
    </row>
    <row r="20" spans="1:21" ht="12.75">
      <c r="A20" t="s">
        <v>163</v>
      </c>
      <c r="B20" s="4">
        <v>52.131</v>
      </c>
      <c r="C20" s="2">
        <v>3232</v>
      </c>
      <c r="D20" s="2">
        <v>2488</v>
      </c>
      <c r="E20" s="2">
        <v>9004</v>
      </c>
      <c r="F20" s="2">
        <v>14311</v>
      </c>
      <c r="G20" s="2">
        <v>16336</v>
      </c>
      <c r="H20" s="2">
        <v>16553</v>
      </c>
      <c r="I20" s="2">
        <v>20343</v>
      </c>
      <c r="J20" s="2">
        <v>16877</v>
      </c>
      <c r="K20" s="2">
        <v>19971</v>
      </c>
      <c r="L20" s="2">
        <v>17642</v>
      </c>
      <c r="M20" s="2">
        <v>20610</v>
      </c>
      <c r="N20" s="2">
        <v>22875</v>
      </c>
      <c r="O20" s="2">
        <v>12559</v>
      </c>
      <c r="P20" s="2">
        <f t="shared" si="0"/>
        <v>18838.5</v>
      </c>
      <c r="Q20" s="2">
        <v>22000</v>
      </c>
      <c r="R20" s="2">
        <v>22000</v>
      </c>
      <c r="S20" s="2">
        <v>22000</v>
      </c>
      <c r="T20" s="2">
        <v>22000</v>
      </c>
      <c r="U20" s="89">
        <f>(T20-Q20)/Q20</f>
        <v>0</v>
      </c>
    </row>
    <row r="21" spans="1:21" ht="12.75">
      <c r="A21" t="s">
        <v>172</v>
      </c>
      <c r="B21" s="4">
        <v>52.1312</v>
      </c>
      <c r="C21" s="2"/>
      <c r="D21" s="2"/>
      <c r="E21" s="2">
        <v>297</v>
      </c>
      <c r="F21" s="2">
        <v>648</v>
      </c>
      <c r="G21" s="2">
        <v>370</v>
      </c>
      <c r="H21" s="2">
        <v>924</v>
      </c>
      <c r="I21" s="2">
        <v>884</v>
      </c>
      <c r="J21" s="2">
        <v>1141</v>
      </c>
      <c r="K21" s="2">
        <v>1309</v>
      </c>
      <c r="L21" s="2">
        <v>1580</v>
      </c>
      <c r="M21" s="2">
        <v>2196</v>
      </c>
      <c r="N21" s="2">
        <v>904</v>
      </c>
      <c r="O21" s="2">
        <v>2297</v>
      </c>
      <c r="P21" s="2">
        <f t="shared" si="0"/>
        <v>3445.5</v>
      </c>
      <c r="Q21" s="2">
        <v>1500</v>
      </c>
      <c r="R21" s="2">
        <v>1500</v>
      </c>
      <c r="S21" s="2">
        <v>1500</v>
      </c>
      <c r="T21" s="2">
        <v>1500</v>
      </c>
      <c r="U21" s="89">
        <f>(T21-Q21)/Q21</f>
        <v>0</v>
      </c>
    </row>
    <row r="22" spans="1:21" ht="11.25" customHeight="1" hidden="1">
      <c r="A22" t="s">
        <v>486</v>
      </c>
      <c r="B22" s="4">
        <v>52.22</v>
      </c>
      <c r="C22" s="2"/>
      <c r="D22" s="2"/>
      <c r="E22" s="2"/>
      <c r="F22" s="2">
        <v>375</v>
      </c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U22" s="89"/>
    </row>
    <row r="23" spans="1:21" ht="12.75" hidden="1">
      <c r="A23" t="s">
        <v>164</v>
      </c>
      <c r="B23" s="4">
        <v>52.2204</v>
      </c>
      <c r="C23" s="2">
        <v>759</v>
      </c>
      <c r="D23" s="2">
        <v>811</v>
      </c>
      <c r="E23" s="2">
        <v>378</v>
      </c>
      <c r="F23" s="2">
        <v>294</v>
      </c>
      <c r="G23" s="2">
        <v>234</v>
      </c>
      <c r="H23" s="2">
        <v>162</v>
      </c>
      <c r="I23" s="2"/>
      <c r="J23" s="2"/>
      <c r="K23" s="2"/>
      <c r="L23" s="2"/>
      <c r="M23" s="2"/>
      <c r="N23" s="2"/>
      <c r="O23" s="2"/>
      <c r="P23" s="2">
        <f aca="true" t="shared" si="1" ref="P23:P33">+O23/$O$3*12</f>
        <v>0</v>
      </c>
      <c r="Q23" s="2"/>
      <c r="R23" s="2"/>
      <c r="S23" s="2"/>
      <c r="T23" s="2"/>
      <c r="U23" s="89" t="e">
        <f>(T23-Q23)/Q23</f>
        <v>#DIV/0!</v>
      </c>
    </row>
    <row r="24" spans="1:21" ht="12.75" hidden="1">
      <c r="A24" t="s">
        <v>176</v>
      </c>
      <c r="B24" s="4">
        <v>52.2206</v>
      </c>
      <c r="C24" s="5"/>
      <c r="D24" s="2">
        <v>2000</v>
      </c>
      <c r="E24" s="5"/>
      <c r="F24" s="5"/>
      <c r="G24" s="2">
        <v>718</v>
      </c>
      <c r="H24" s="5"/>
      <c r="I24" s="5"/>
      <c r="J24" s="5"/>
      <c r="K24" s="5"/>
      <c r="L24" s="5"/>
      <c r="M24" s="5"/>
      <c r="N24" s="5"/>
      <c r="O24" s="5"/>
      <c r="P24" s="2">
        <f t="shared" si="1"/>
        <v>0</v>
      </c>
      <c r="R24" s="5"/>
      <c r="U24" s="89"/>
    </row>
    <row r="25" spans="1:21" ht="12.75">
      <c r="A25" t="s">
        <v>143</v>
      </c>
      <c r="B25" s="4">
        <v>52.32</v>
      </c>
      <c r="C25" s="2">
        <v>1799</v>
      </c>
      <c r="D25" s="2">
        <v>2232</v>
      </c>
      <c r="E25" s="2">
        <v>2206</v>
      </c>
      <c r="F25" s="2">
        <v>2421</v>
      </c>
      <c r="G25" s="2">
        <v>2427</v>
      </c>
      <c r="H25" s="2">
        <v>2351</v>
      </c>
      <c r="I25" s="2">
        <v>2588</v>
      </c>
      <c r="J25" s="2">
        <v>2468</v>
      </c>
      <c r="K25" s="2">
        <v>2360</v>
      </c>
      <c r="L25" s="2">
        <v>1265</v>
      </c>
      <c r="M25" s="2">
        <v>587</v>
      </c>
      <c r="N25" s="2">
        <v>579</v>
      </c>
      <c r="O25" s="2">
        <v>495</v>
      </c>
      <c r="P25" s="2">
        <f t="shared" si="1"/>
        <v>742.5</v>
      </c>
      <c r="Q25" s="2">
        <v>1300</v>
      </c>
      <c r="R25" s="2">
        <v>800</v>
      </c>
      <c r="S25" s="2">
        <v>800</v>
      </c>
      <c r="T25" s="2">
        <v>800</v>
      </c>
      <c r="U25" s="89">
        <f>(T25-Q25)/Q25</f>
        <v>-0.38461538461538464</v>
      </c>
    </row>
    <row r="26" spans="1:21" ht="12.75">
      <c r="A26" t="s">
        <v>144</v>
      </c>
      <c r="B26" s="4">
        <v>52.321</v>
      </c>
      <c r="C26" s="2">
        <v>1308</v>
      </c>
      <c r="D26" s="2">
        <v>8846</v>
      </c>
      <c r="E26" s="2">
        <v>2556</v>
      </c>
      <c r="F26" s="2">
        <v>2044</v>
      </c>
      <c r="G26" s="2">
        <v>2457</v>
      </c>
      <c r="H26" s="2">
        <v>1925</v>
      </c>
      <c r="I26" s="2">
        <v>1791</v>
      </c>
      <c r="J26" s="2">
        <v>2761</v>
      </c>
      <c r="K26" s="2">
        <v>2670</v>
      </c>
      <c r="L26" s="2">
        <v>1758</v>
      </c>
      <c r="M26" s="2">
        <v>2208</v>
      </c>
      <c r="N26" s="2">
        <v>2676</v>
      </c>
      <c r="O26" s="2">
        <v>1937</v>
      </c>
      <c r="P26" s="2">
        <f t="shared" si="1"/>
        <v>2905.5</v>
      </c>
      <c r="Q26" s="2">
        <v>2800</v>
      </c>
      <c r="R26" s="2">
        <v>3000</v>
      </c>
      <c r="S26" s="2">
        <v>3000</v>
      </c>
      <c r="T26" s="2">
        <v>3000</v>
      </c>
      <c r="U26" s="89">
        <f>(T26-Q26)/Q26</f>
        <v>0.07142857142857142</v>
      </c>
    </row>
    <row r="27" spans="1:21" ht="12.75">
      <c r="A27" t="s">
        <v>165</v>
      </c>
      <c r="B27" s="4">
        <v>52.33</v>
      </c>
      <c r="C27" s="2">
        <v>422</v>
      </c>
      <c r="D27" s="2">
        <v>250</v>
      </c>
      <c r="E27" s="2"/>
      <c r="F27" s="2">
        <v>-1394</v>
      </c>
      <c r="G27" s="2">
        <v>-148</v>
      </c>
      <c r="H27" s="2"/>
      <c r="I27" s="2"/>
      <c r="J27" s="2">
        <v>700</v>
      </c>
      <c r="K27" s="2">
        <f>3905+45</f>
        <v>3950</v>
      </c>
      <c r="L27" s="2">
        <v>1980</v>
      </c>
      <c r="M27" s="2">
        <v>1050</v>
      </c>
      <c r="N27" s="2"/>
      <c r="O27" s="2"/>
      <c r="P27" s="2"/>
      <c r="Q27" s="2">
        <v>2000</v>
      </c>
      <c r="R27" s="2"/>
      <c r="S27" s="2"/>
      <c r="T27" s="2"/>
      <c r="U27" s="89"/>
    </row>
    <row r="28" spans="1:21" ht="12.75">
      <c r="A28" t="s">
        <v>706</v>
      </c>
      <c r="B28" s="4">
        <v>52.3406</v>
      </c>
      <c r="C28" s="2">
        <v>9236</v>
      </c>
      <c r="D28" s="2">
        <v>10603</v>
      </c>
      <c r="E28" s="2">
        <v>12611</v>
      </c>
      <c r="F28" s="2">
        <v>6871</v>
      </c>
      <c r="G28" s="2">
        <v>7388</v>
      </c>
      <c r="H28" s="2"/>
      <c r="I28" s="2">
        <v>4222</v>
      </c>
      <c r="J28" s="2">
        <v>8264</v>
      </c>
      <c r="K28" s="2">
        <v>7984</v>
      </c>
      <c r="L28" s="2">
        <v>8346</v>
      </c>
      <c r="M28" s="2">
        <v>8427</v>
      </c>
      <c r="N28" s="2">
        <v>7364</v>
      </c>
      <c r="O28" s="2">
        <v>5836</v>
      </c>
      <c r="P28" s="2">
        <f t="shared" si="1"/>
        <v>8754</v>
      </c>
      <c r="Q28" s="2">
        <v>8400</v>
      </c>
      <c r="R28" s="2">
        <v>8400</v>
      </c>
      <c r="S28" s="2">
        <v>8400</v>
      </c>
      <c r="T28" s="2">
        <v>8400</v>
      </c>
      <c r="U28" s="89">
        <f>(T28-Q28)/Q28</f>
        <v>0</v>
      </c>
    </row>
    <row r="29" spans="1:21" ht="12.75">
      <c r="A29" t="s">
        <v>632</v>
      </c>
      <c r="B29" s="4">
        <v>52.3408</v>
      </c>
      <c r="D29" s="2"/>
      <c r="J29">
        <v>19945</v>
      </c>
      <c r="K29" s="2">
        <v>4235</v>
      </c>
      <c r="L29" s="2">
        <v>2659</v>
      </c>
      <c r="M29" s="2">
        <v>2076</v>
      </c>
      <c r="N29" s="2">
        <f>112+35</f>
        <v>147</v>
      </c>
      <c r="O29" s="2">
        <v>14</v>
      </c>
      <c r="P29" s="2">
        <f>+O29/$O$3*12</f>
        <v>21</v>
      </c>
      <c r="Q29" s="2">
        <v>2500</v>
      </c>
      <c r="R29" s="18">
        <v>500</v>
      </c>
      <c r="S29" s="2">
        <v>500</v>
      </c>
      <c r="T29" s="2">
        <v>500</v>
      </c>
      <c r="U29" s="89"/>
    </row>
    <row r="30" spans="1:21" ht="12.75">
      <c r="A30" t="s">
        <v>156</v>
      </c>
      <c r="B30" s="4">
        <v>52.35</v>
      </c>
      <c r="C30" s="2">
        <v>1760</v>
      </c>
      <c r="D30" s="2">
        <v>1478</v>
      </c>
      <c r="E30" s="2">
        <v>1012</v>
      </c>
      <c r="F30" s="2">
        <v>757</v>
      </c>
      <c r="G30" s="2">
        <v>248</v>
      </c>
      <c r="H30" s="2"/>
      <c r="I30" s="2">
        <v>1072</v>
      </c>
      <c r="J30" s="2">
        <v>54</v>
      </c>
      <c r="K30" s="2">
        <v>92</v>
      </c>
      <c r="L30" s="2">
        <v>32</v>
      </c>
      <c r="M30" s="2"/>
      <c r="N30" s="2"/>
      <c r="O30" s="2"/>
      <c r="P30" s="2">
        <f t="shared" si="1"/>
        <v>0</v>
      </c>
      <c r="Q30" s="2"/>
      <c r="R30" s="2"/>
      <c r="S30" s="2"/>
      <c r="T30" s="2"/>
      <c r="U30" s="89" t="e">
        <f>(T30-Q30)/Q30</f>
        <v>#DIV/0!</v>
      </c>
    </row>
    <row r="31" spans="1:21" ht="12.75">
      <c r="A31" t="s">
        <v>146</v>
      </c>
      <c r="B31" s="4">
        <v>52.3602</v>
      </c>
      <c r="C31" s="2">
        <v>250</v>
      </c>
      <c r="D31" s="2">
        <v>250</v>
      </c>
      <c r="E31" s="2">
        <v>250</v>
      </c>
      <c r="F31" s="2">
        <v>300</v>
      </c>
      <c r="G31" s="2">
        <v>100</v>
      </c>
      <c r="H31" s="2">
        <v>200</v>
      </c>
      <c r="I31" s="2">
        <v>300</v>
      </c>
      <c r="J31" s="2">
        <v>300</v>
      </c>
      <c r="K31" s="2">
        <v>200</v>
      </c>
      <c r="L31" s="2">
        <v>200</v>
      </c>
      <c r="M31" s="2">
        <v>300</v>
      </c>
      <c r="N31" s="2">
        <v>350</v>
      </c>
      <c r="O31" s="2">
        <v>350</v>
      </c>
      <c r="P31" s="2">
        <v>350</v>
      </c>
      <c r="Q31" s="2">
        <v>350</v>
      </c>
      <c r="R31" s="2">
        <v>350</v>
      </c>
      <c r="S31" s="2">
        <v>350</v>
      </c>
      <c r="T31" s="2">
        <v>350</v>
      </c>
      <c r="U31" s="89">
        <f>(T31-Q31)/Q31</f>
        <v>0</v>
      </c>
    </row>
    <row r="32" spans="1:21" ht="12.75">
      <c r="A32" t="s">
        <v>157</v>
      </c>
      <c r="B32" s="4">
        <v>52.37</v>
      </c>
      <c r="C32" s="2"/>
      <c r="D32" s="2"/>
      <c r="E32" s="2">
        <v>945</v>
      </c>
      <c r="F32" s="2">
        <v>670</v>
      </c>
      <c r="G32" s="2">
        <v>775</v>
      </c>
      <c r="H32" s="2">
        <v>460</v>
      </c>
      <c r="I32" s="2"/>
      <c r="J32" s="2"/>
      <c r="K32" s="2">
        <v>525</v>
      </c>
      <c r="L32" s="2">
        <v>395</v>
      </c>
      <c r="M32" s="2">
        <v>740</v>
      </c>
      <c r="N32" s="2">
        <v>620</v>
      </c>
      <c r="O32" s="2">
        <v>655</v>
      </c>
      <c r="P32" s="2">
        <v>750</v>
      </c>
      <c r="Q32" s="2">
        <v>750</v>
      </c>
      <c r="R32" s="2">
        <v>750</v>
      </c>
      <c r="S32" s="2">
        <v>750</v>
      </c>
      <c r="T32" s="2">
        <v>750</v>
      </c>
      <c r="U32" s="89">
        <f>(T32-Q32)/Q32</f>
        <v>0</v>
      </c>
    </row>
    <row r="33" spans="1:21" ht="12.75">
      <c r="A33" t="s">
        <v>151</v>
      </c>
      <c r="B33" s="4">
        <v>53.171</v>
      </c>
      <c r="C33" s="2">
        <v>3340</v>
      </c>
      <c r="D33" s="2">
        <v>3361</v>
      </c>
      <c r="E33" s="2">
        <v>1868</v>
      </c>
      <c r="F33" s="2">
        <v>2029</v>
      </c>
      <c r="G33" s="2">
        <v>3253</v>
      </c>
      <c r="H33" s="2">
        <v>2442</v>
      </c>
      <c r="I33" s="2">
        <v>4386</v>
      </c>
      <c r="J33" s="2">
        <v>3235</v>
      </c>
      <c r="K33" s="2">
        <v>3592</v>
      </c>
      <c r="L33" s="2">
        <v>2967</v>
      </c>
      <c r="M33" s="2">
        <v>4068</v>
      </c>
      <c r="N33" s="2">
        <f>4231+72+190</f>
        <v>4493</v>
      </c>
      <c r="O33" s="2">
        <v>2437</v>
      </c>
      <c r="P33" s="2">
        <f t="shared" si="1"/>
        <v>3655.5</v>
      </c>
      <c r="Q33" s="2">
        <v>3300</v>
      </c>
      <c r="R33" s="2">
        <v>3300</v>
      </c>
      <c r="S33" s="2">
        <v>3300</v>
      </c>
      <c r="T33" s="2">
        <v>3300</v>
      </c>
      <c r="U33" s="89">
        <f>(T33-Q33)/Q33</f>
        <v>0</v>
      </c>
    </row>
    <row r="34" spans="1:21" ht="12.75">
      <c r="A34" t="s">
        <v>280</v>
      </c>
      <c r="B34" s="4">
        <v>53.175</v>
      </c>
      <c r="C34" s="2"/>
      <c r="D34" s="2"/>
      <c r="E34" s="2"/>
      <c r="F34" s="2"/>
      <c r="G34" s="2"/>
      <c r="H34" s="2"/>
      <c r="I34" s="2"/>
      <c r="J34" s="2"/>
      <c r="K34" s="2">
        <v>99</v>
      </c>
      <c r="L34" s="2"/>
      <c r="M34" s="2"/>
      <c r="N34" s="2"/>
      <c r="O34" s="2"/>
      <c r="P34" s="2"/>
      <c r="Q34" s="2"/>
      <c r="R34" s="2"/>
      <c r="S34" s="2"/>
      <c r="T34" s="2"/>
      <c r="U34" s="89"/>
    </row>
    <row r="35" spans="2:21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9"/>
    </row>
    <row r="36" spans="1:22" ht="12.75">
      <c r="A36" t="s">
        <v>983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15000</v>
      </c>
      <c r="R36" s="2">
        <v>15000</v>
      </c>
      <c r="S36" s="2"/>
      <c r="T36" s="2"/>
      <c r="U36" s="89"/>
      <c r="V36" t="s">
        <v>511</v>
      </c>
    </row>
    <row r="37" spans="1:22" ht="12.75">
      <c r="A37" t="s">
        <v>984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15000</v>
      </c>
      <c r="R37" s="2">
        <v>15000</v>
      </c>
      <c r="S37" s="2"/>
      <c r="T37" s="2"/>
      <c r="U37" s="89"/>
      <c r="V37" t="s">
        <v>511</v>
      </c>
    </row>
    <row r="38" spans="1:22" ht="12.75">
      <c r="A38" t="s">
        <v>1029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15000</v>
      </c>
      <c r="S38" s="2">
        <v>15000</v>
      </c>
      <c r="T38" s="2">
        <v>15000</v>
      </c>
      <c r="U38" s="89"/>
      <c r="V38" t="s">
        <v>511</v>
      </c>
    </row>
    <row r="39" spans="2:21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89"/>
    </row>
    <row r="40" spans="1:22" ht="12.75">
      <c r="A40" t="s">
        <v>404</v>
      </c>
      <c r="B40" s="4">
        <v>54.24</v>
      </c>
      <c r="C40" s="2"/>
      <c r="D40" s="2"/>
      <c r="E40" s="2"/>
      <c r="F40" s="2">
        <v>690</v>
      </c>
      <c r="G40" s="2">
        <v>750</v>
      </c>
      <c r="H40" s="2">
        <v>1275</v>
      </c>
      <c r="I40" s="2">
        <v>3539</v>
      </c>
      <c r="J40" s="2"/>
      <c r="K40" s="2">
        <v>27429</v>
      </c>
      <c r="L40" s="2"/>
      <c r="M40" s="2">
        <v>598</v>
      </c>
      <c r="N40" s="2">
        <v>730</v>
      </c>
      <c r="O40" s="2"/>
      <c r="P40" s="2"/>
      <c r="Q40" s="2"/>
      <c r="R40" s="2"/>
      <c r="S40" s="2"/>
      <c r="T40" s="2"/>
      <c r="U40" s="89"/>
      <c r="V40" s="33"/>
    </row>
    <row r="41" spans="1:21" ht="12.75" hidden="1">
      <c r="A41" t="s">
        <v>166</v>
      </c>
      <c r="B41" s="4">
        <v>54.23</v>
      </c>
      <c r="C41" s="5"/>
      <c r="D41" s="2">
        <v>3080</v>
      </c>
      <c r="E41" s="5">
        <v>2445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2">
        <f>+O41/$O$3*12</f>
        <v>0</v>
      </c>
      <c r="R41" s="2"/>
      <c r="U41" s="89"/>
    </row>
    <row r="42" spans="1:22" ht="12.75">
      <c r="A42" t="s">
        <v>319</v>
      </c>
      <c r="B42" s="4">
        <v>54.25</v>
      </c>
      <c r="C42" s="5"/>
      <c r="D42" s="2">
        <v>4420</v>
      </c>
      <c r="E42" s="5"/>
      <c r="F42" s="5"/>
      <c r="G42" s="5"/>
      <c r="H42" s="2">
        <v>1532</v>
      </c>
      <c r="I42" s="5"/>
      <c r="J42" s="5"/>
      <c r="K42" s="5"/>
      <c r="L42" s="5"/>
      <c r="M42" s="5"/>
      <c r="N42" s="5"/>
      <c r="O42" s="5"/>
      <c r="P42" s="2">
        <f>+O42/$O$3*12</f>
        <v>0</v>
      </c>
      <c r="Q42" s="2"/>
      <c r="R42" s="2"/>
      <c r="S42" s="2"/>
      <c r="T42" s="2"/>
      <c r="U42" s="89"/>
      <c r="V42" s="33"/>
    </row>
    <row r="43" spans="1:22" ht="12.75">
      <c r="A43" t="s">
        <v>896</v>
      </c>
      <c r="B43" s="4">
        <v>53.1737</v>
      </c>
      <c r="C43" s="5"/>
      <c r="D43" s="2"/>
      <c r="E43" s="5"/>
      <c r="F43" s="5"/>
      <c r="G43" s="5"/>
      <c r="H43" s="2"/>
      <c r="I43" s="5"/>
      <c r="J43" s="5"/>
      <c r="K43" s="5"/>
      <c r="L43" s="5">
        <v>292</v>
      </c>
      <c r="M43" s="5"/>
      <c r="N43" s="5"/>
      <c r="O43" s="5"/>
      <c r="P43" s="2"/>
      <c r="Q43" s="2"/>
      <c r="R43" s="2"/>
      <c r="S43" s="2"/>
      <c r="T43" s="2"/>
      <c r="U43" s="89"/>
      <c r="V43" s="33"/>
    </row>
    <row r="44" spans="1:22" ht="12.75">
      <c r="A44" t="s">
        <v>78</v>
      </c>
      <c r="B44" s="4"/>
      <c r="C44" s="5"/>
      <c r="D44" s="2"/>
      <c r="E44" s="5"/>
      <c r="F44" s="5"/>
      <c r="G44" s="5"/>
      <c r="H44" s="2"/>
      <c r="I44" s="5"/>
      <c r="J44" s="5"/>
      <c r="K44" s="5"/>
      <c r="L44" s="2">
        <v>26</v>
      </c>
      <c r="M44" s="5"/>
      <c r="N44" s="5"/>
      <c r="O44" s="5"/>
      <c r="P44" s="2"/>
      <c r="Q44" s="2"/>
      <c r="R44" s="2"/>
      <c r="S44" s="2"/>
      <c r="T44" s="2"/>
      <c r="U44" s="89"/>
      <c r="V44" s="33"/>
    </row>
    <row r="45" spans="2:21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+O45/$O$3*12</f>
        <v>0</v>
      </c>
      <c r="Q45" s="2"/>
      <c r="R45" s="2"/>
      <c r="S45" s="2"/>
      <c r="T45" s="2"/>
      <c r="U45" s="90">
        <f>IF(T45="","",+T45-$Q45)</f>
      </c>
    </row>
    <row r="46" spans="1:21" ht="12.75">
      <c r="A46" s="6" t="s">
        <v>119</v>
      </c>
      <c r="B46" s="6"/>
      <c r="C46" s="7">
        <f aca="true" t="shared" si="2" ref="C46:P46">SUM(C7:C45)</f>
        <v>149863</v>
      </c>
      <c r="D46" s="8">
        <f t="shared" si="2"/>
        <v>185873</v>
      </c>
      <c r="E46" s="8">
        <f t="shared" si="2"/>
        <v>193528</v>
      </c>
      <c r="F46" s="8">
        <f t="shared" si="2"/>
        <v>210804</v>
      </c>
      <c r="G46" s="8">
        <f t="shared" si="2"/>
        <v>219949</v>
      </c>
      <c r="H46" s="8">
        <f t="shared" si="2"/>
        <v>224174</v>
      </c>
      <c r="I46" s="8">
        <f t="shared" si="2"/>
        <v>210499</v>
      </c>
      <c r="J46" s="8">
        <v>234447</v>
      </c>
      <c r="K46" s="8">
        <f t="shared" si="2"/>
        <v>256927</v>
      </c>
      <c r="L46" s="8">
        <v>229705</v>
      </c>
      <c r="M46" s="8">
        <v>230331</v>
      </c>
      <c r="N46" s="8">
        <f t="shared" si="2"/>
        <v>243971</v>
      </c>
      <c r="O46" s="8">
        <f t="shared" si="2"/>
        <v>163972</v>
      </c>
      <c r="P46" s="8">
        <f t="shared" si="2"/>
        <v>247172.618</v>
      </c>
      <c r="Q46" s="8">
        <f>SUM(Q7:Q45)</f>
        <v>282900.77035999997</v>
      </c>
      <c r="R46" s="8">
        <f>SUM(R7:R45)</f>
        <v>303431</v>
      </c>
      <c r="S46" s="8">
        <f>SUM(S7:S45)</f>
        <v>272131.18700000003</v>
      </c>
      <c r="T46" s="8">
        <f>SUM(T7:T45)</f>
        <v>272131.18700000003</v>
      </c>
      <c r="U46" s="91">
        <f>(T46-Q46)/Q46</f>
        <v>-0.038068412985568414</v>
      </c>
    </row>
    <row r="48" spans="17:19" ht="12.75">
      <c r="Q48" s="22" t="s">
        <v>484</v>
      </c>
      <c r="R48" s="22"/>
      <c r="S48" s="55">
        <f>R46-S46</f>
        <v>31299.812999999966</v>
      </c>
    </row>
    <row r="49" spans="1:19" ht="12.75">
      <c r="A49" s="6"/>
      <c r="Q49" s="22" t="s">
        <v>725</v>
      </c>
      <c r="R49" s="22"/>
      <c r="S49" s="55">
        <f>Q46-S46</f>
        <v>10769.583359999931</v>
      </c>
    </row>
    <row r="50" spans="17:19" ht="12.75">
      <c r="Q50" s="22" t="s">
        <v>432</v>
      </c>
      <c r="R50" s="22"/>
      <c r="S50" s="55">
        <f>S46-T46</f>
        <v>0</v>
      </c>
    </row>
    <row r="51" ht="12.75">
      <c r="A51" s="22" t="s">
        <v>1053</v>
      </c>
    </row>
    <row r="52" ht="12.75">
      <c r="A52" t="s">
        <v>1054</v>
      </c>
    </row>
    <row r="53" ht="12.75">
      <c r="A53" t="s">
        <v>1052</v>
      </c>
    </row>
    <row r="54" ht="12.75">
      <c r="A54" s="22" t="s">
        <v>1100</v>
      </c>
    </row>
    <row r="55" spans="1:14" ht="12.75">
      <c r="A55" s="44" t="s">
        <v>1030</v>
      </c>
      <c r="B55" s="41">
        <v>31.1391</v>
      </c>
      <c r="C55" s="42"/>
      <c r="D55" s="42">
        <v>2500</v>
      </c>
      <c r="E55" s="22" t="s">
        <v>552</v>
      </c>
      <c r="F55" s="22" t="s">
        <v>615</v>
      </c>
      <c r="G55" s="22"/>
      <c r="H55" s="22"/>
      <c r="I55" s="42">
        <f>2700+100</f>
        <v>2800</v>
      </c>
      <c r="J55" s="42">
        <v>3935</v>
      </c>
      <c r="K55" s="42">
        <v>4255</v>
      </c>
      <c r="L55" s="42">
        <v>3978</v>
      </c>
      <c r="M55" s="42" t="s">
        <v>1056</v>
      </c>
      <c r="N55" s="42"/>
    </row>
    <row r="59" spans="3:21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3:21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3:21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Jon Caime Hart County Administrator</cp:lastModifiedBy>
  <cp:lastPrinted>2011-09-06T20:02:34Z</cp:lastPrinted>
  <dcterms:created xsi:type="dcterms:W3CDTF">2001-08-02T22:29:16Z</dcterms:created>
  <dcterms:modified xsi:type="dcterms:W3CDTF">2011-10-12T19:00:16Z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-132129435</vt:i4>
  </property>
  <property fmtid="{D5CDD505-2E9C-101B-9397-08002B2CF9AE}" pid="3" name="_EmailSubject">
    <vt:lpwstr>final budgets attached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-1723018540</vt:i4>
  </property>
</Properties>
</file>