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475" windowWidth="9540" windowHeight="6435" tabRatio="599" activeTab="0"/>
  </bookViews>
  <sheets>
    <sheet name="Department Nos." sheetId="1" r:id="rId1"/>
    <sheet name="GF Rev" sheetId="2" r:id="rId2"/>
    <sheet name="Expense Summary" sheetId="3" r:id="rId3"/>
    <sheet name="GF10000" sheetId="4" r:id="rId4"/>
    <sheet name="GF13000" sheetId="5" r:id="rId5"/>
    <sheet name="GF14000" sheetId="6" r:id="rId6"/>
    <sheet name="GF14100" sheetId="7" r:id="rId7"/>
    <sheet name="GF15300" sheetId="8" r:id="rId8"/>
    <sheet name="GF15450" sheetId="9" r:id="rId9"/>
    <sheet name="GF15500" sheetId="10" r:id="rId10"/>
    <sheet name="GF15550" sheetId="11" r:id="rId11"/>
    <sheet name="GF15600" sheetId="12" r:id="rId12"/>
    <sheet name="GF15650" sheetId="13" r:id="rId13"/>
    <sheet name="GF15950" sheetId="14" r:id="rId14"/>
    <sheet name="GF21500" sheetId="15" r:id="rId15"/>
    <sheet name="GF21800" sheetId="16" r:id="rId16"/>
    <sheet name="GF22000" sheetId="17" r:id="rId17"/>
    <sheet name="GF24000" sheetId="18" r:id="rId18"/>
    <sheet name="GF24500" sheetId="19" r:id="rId19"/>
    <sheet name="GF27000" sheetId="20" r:id="rId20"/>
    <sheet name="GF27500" sheetId="21" r:id="rId21"/>
    <sheet name="GF28000" sheetId="22" r:id="rId22"/>
    <sheet name="GF2810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2000" sheetId="31" r:id="rId31"/>
    <sheet name="GF49000" sheetId="32" r:id="rId32"/>
    <sheet name="GF51000" sheetId="33" r:id="rId33"/>
    <sheet name="GF54000" sheetId="34" r:id="rId34"/>
    <sheet name="GF55200" sheetId="35" r:id="rId35"/>
    <sheet name="GF55400" sheetId="36" r:id="rId36"/>
    <sheet name="GF61000" sheetId="37" r:id="rId37"/>
    <sheet name="GF61900" sheetId="38" r:id="rId38"/>
    <sheet name="GF65100" sheetId="39" r:id="rId39"/>
    <sheet name="GF71300" sheetId="40" r:id="rId40"/>
    <sheet name="GF71400" sheetId="41" r:id="rId41"/>
    <sheet name="GF75000" sheetId="42" r:id="rId42"/>
    <sheet name="GF75630" sheetId="43" r:id="rId43"/>
    <sheet name="GF76300" sheetId="44" r:id="rId44"/>
    <sheet name="GF76400" sheetId="45" r:id="rId45"/>
  </sheets>
  <externalReferences>
    <externalReference r:id="rId48"/>
  </externalReferences>
  <definedNames>
    <definedName name="_xlnm.Print_Titles" localSheetId="1">'GF Rev'!$2:$4</definedName>
    <definedName name="_xlnm.Print_Titles" localSheetId="3">'GF10000'!$3:$6</definedName>
    <definedName name="_xlnm.Print_Titles" localSheetId="36">'GF61000'!$4:$6</definedName>
  </definedNames>
  <calcPr fullCalcOnLoad="1"/>
</workbook>
</file>

<file path=xl/comments16.xml><?xml version="1.0" encoding="utf-8"?>
<comments xmlns="http://schemas.openxmlformats.org/spreadsheetml/2006/main">
  <authors>
    <author>Hart County Administrator</author>
  </authors>
  <commentList>
    <comment ref="A18" authorId="0">
      <text>
        <r>
          <rPr>
            <sz val="8"/>
            <rFont val="Tahoma"/>
            <family val="2"/>
          </rPr>
          <t>copier maint</t>
        </r>
      </text>
    </comment>
    <comment ref="A17" authorId="0">
      <text>
        <r>
          <rPr>
            <sz val="8"/>
            <rFont val="Tahoma"/>
            <family val="2"/>
          </rPr>
          <t>Lease on Copiers</t>
        </r>
      </text>
    </comment>
    <comment ref="A19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19.xml><?xml version="1.0" encoding="utf-8"?>
<comments xmlns="http://schemas.openxmlformats.org/spreadsheetml/2006/main">
  <authors>
    <author> Jon Caime Hart County Administrator</author>
  </authors>
  <commentList>
    <comment ref="N39" authorId="0">
      <text>
        <r>
          <rPr>
            <b/>
            <sz val="8"/>
            <rFont val="Tahoma"/>
            <family val="0"/>
          </rPr>
          <t>revise with recent revenue figures</t>
        </r>
      </text>
    </comment>
  </commentList>
</comments>
</file>

<file path=xl/comments2.xml><?xml version="1.0" encoding="utf-8"?>
<comments xmlns="http://schemas.openxmlformats.org/spreadsheetml/2006/main">
  <authors>
    <author>Hart County GA</author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>tax abatement fee in lieu of taxes</t>
        </r>
      </text>
    </comment>
    <comment ref="A17" authorId="1">
      <text>
        <r>
          <rPr>
            <sz val="8"/>
            <rFont val="Tahoma"/>
            <family val="2"/>
          </rPr>
          <t>fees for tax comm tags mailings</t>
        </r>
      </text>
    </comment>
    <comment ref="A5" authorId="2">
      <text>
        <r>
          <rPr>
            <b/>
            <sz val="8"/>
            <rFont val="Tahoma"/>
            <family val="0"/>
          </rPr>
          <t>temp coll order, will loose some value due to appeals
Pers Property Audit FY12 add $500,000?</t>
        </r>
      </text>
    </comment>
    <comment ref="O33" authorId="2">
      <text>
        <r>
          <rPr>
            <b/>
            <sz val="8"/>
            <rFont val="Tahoma"/>
            <family val="0"/>
          </rPr>
          <t>include 1 month arrears at year end</t>
        </r>
      </text>
    </comment>
  </commentList>
</comments>
</file>

<file path=xl/comments24.xml><?xml version="1.0" encoding="utf-8"?>
<comments xmlns="http://schemas.openxmlformats.org/spreadsheetml/2006/main">
  <authors>
    <author> Jon Caime Hart County Administrator</author>
  </authors>
  <commentList>
    <comment ref="Q52" authorId="0">
      <text>
        <r>
          <rPr>
            <b/>
            <sz val="8"/>
            <rFont val="Tahoma"/>
            <family val="0"/>
          </rPr>
          <t>3 vehicles</t>
        </r>
      </text>
    </comment>
  </commentList>
</comments>
</file>

<file path=xl/comments3.xml><?xml version="1.0" encoding="utf-8"?>
<comments xmlns="http://schemas.openxmlformats.org/spreadsheetml/2006/main">
  <authors>
    <author>Hart County Administrator</author>
    <author> Jon Caime Hart County Administrator</author>
  </authors>
  <commentList>
    <comment ref="V4" authorId="0">
      <text>
        <r>
          <rPr>
            <sz val="8"/>
            <rFont val="Tahoma"/>
            <family val="2"/>
          </rPr>
          <t>negative is an increase</t>
        </r>
      </text>
    </comment>
    <comment ref="S58" authorId="1">
      <text>
        <r>
          <rPr>
            <b/>
            <sz val="8"/>
            <rFont val="Tahoma"/>
            <family val="0"/>
          </rPr>
          <t>tax assess</t>
        </r>
      </text>
    </comment>
  </commentList>
</comments>
</file>

<file path=xl/comments35.xml><?xml version="1.0" encoding="utf-8"?>
<comments xmlns="http://schemas.openxmlformats.org/spreadsheetml/2006/main">
  <authors>
    <author> Jon Caime Hart County Administrator</author>
  </authors>
  <commentList>
    <comment ref="A7" authorId="0">
      <text>
        <r>
          <rPr>
            <b/>
            <sz val="8"/>
            <rFont val="Tahoma"/>
            <family val="0"/>
          </rPr>
          <t>full time director</t>
        </r>
      </text>
    </comment>
    <comment ref="A8" authorId="0">
      <text>
        <r>
          <rPr>
            <b/>
            <sz val="8"/>
            <rFont val="Tahoma"/>
            <family val="0"/>
          </rPr>
          <t>part time activities coordinator</t>
        </r>
      </text>
    </comment>
  </commentList>
</comments>
</file>

<file path=xl/comments4.xml><?xml version="1.0" encoding="utf-8"?>
<comments xmlns="http://schemas.openxmlformats.org/spreadsheetml/2006/main">
  <authors>
    <author> Jon Caime, County Administrator</author>
  </authors>
  <commentList>
    <comment ref="Q24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comments42.xml><?xml version="1.0" encoding="utf-8"?>
<comments xmlns="http://schemas.openxmlformats.org/spreadsheetml/2006/main">
  <authors>
    <author> Jon Caime Hart County Administrator</author>
  </authors>
  <commentList>
    <comment ref="Q32" authorId="0">
      <text>
        <r>
          <rPr>
            <b/>
            <sz val="8"/>
            <rFont val="Tahoma"/>
            <family val="0"/>
          </rPr>
          <t>mistake in first draft</t>
        </r>
      </text>
    </comment>
  </commentList>
</comments>
</file>

<file path=xl/sharedStrings.xml><?xml version="1.0" encoding="utf-8"?>
<sst xmlns="http://schemas.openxmlformats.org/spreadsheetml/2006/main" count="3096" uniqueCount="1005">
  <si>
    <t>Overall Note: All these wage expenses are partially grant funded, budget based on grant application</t>
  </si>
  <si>
    <t>Note 1:  FY11 new line item to capture costs for maintenance for grant reimbursement</t>
  </si>
  <si>
    <t>note ,2,5,6</t>
  </si>
  <si>
    <t>note 3: chamber of commerce manages these funds, annual budget agreed to by BOC fy10</t>
  </si>
  <si>
    <t>note 4:This was funded from Econ. Dev. Fund 2004-2009</t>
  </si>
  <si>
    <t>note4</t>
  </si>
  <si>
    <t>Mega Ramp O&amp;M</t>
  </si>
  <si>
    <t>Note 2: New State Requirements that notice must be sent to firearms permit holders 60 days before permit expires</t>
  </si>
  <si>
    <t>Runoff</t>
  </si>
  <si>
    <t xml:space="preserve">Note 1: costs increased due to cuts in State funding </t>
  </si>
  <si>
    <t>Note 2;  Removed HC requrest ($7,800), runoff (see note 3), cost increased due to increased state ballot requirements</t>
  </si>
  <si>
    <t>Note 3:  Run off costs may be needed if runoff:  Labor ($3,650) office supplies ($1,700), other svcs ($1,000)= $6,350</t>
  </si>
  <si>
    <t>note 3: requests copier</t>
  </si>
  <si>
    <t>Exp/Rev %</t>
  </si>
  <si>
    <t>copier costs</t>
  </si>
  <si>
    <t>note 3: UGA will match this dollar for dollar</t>
  </si>
  <si>
    <t>note 1:  Requested for Work Ready Certification see 75000 account</t>
  </si>
  <si>
    <t xml:space="preserve">Hart Partners Work Ready </t>
  </si>
  <si>
    <t xml:space="preserve">note 5: Thi s allows work ready testing and tutoring in Hartwell otherwise candidates have to travel to Elberton, requested agency challenge grant City of Harwell, Bowerville, and IBA </t>
  </si>
  <si>
    <t>Contract Personal Property Audit</t>
  </si>
  <si>
    <t>Note 3:  Fully Legacy Grant Funding, Actual amount will be determined by grant funds available</t>
  </si>
  <si>
    <t>Note 2: 27.5 hours per week</t>
  </si>
  <si>
    <t>Mechanics labor</t>
  </si>
  <si>
    <t>note 5: Current Fed Regs require us to pay COBRA Health Insurance for Former Employee at $246/month until at least 1/11 (may be extended by Feds)</t>
  </si>
  <si>
    <t>Projected-</t>
  </si>
  <si>
    <t>under budget</t>
  </si>
  <si>
    <t>Wages/part time</t>
  </si>
  <si>
    <t>COC Tourism Director</t>
  </si>
  <si>
    <t>Sheriff Car/ARRA Grant</t>
  </si>
  <si>
    <t>B'ville investigation</t>
  </si>
  <si>
    <t>Pandemic Flu Grant Expens</t>
  </si>
  <si>
    <t>budget rev.:</t>
  </si>
  <si>
    <t>Animal Shelter Grant</t>
  </si>
  <si>
    <t>Animal Shelter Construction</t>
  </si>
  <si>
    <t>franklin co not contributing anymore</t>
  </si>
  <si>
    <t>Lake Hartwell Economic Impact Study</t>
  </si>
  <si>
    <t>addressing fee</t>
  </si>
  <si>
    <t>Note 1: move to ins. Premium for FY09</t>
  </si>
  <si>
    <t>Base Wages- Registrars</t>
  </si>
  <si>
    <t>Achievers Inc Grant</t>
  </si>
  <si>
    <t>dead program</t>
  </si>
  <si>
    <t>Stuctural improvements Shelter</t>
  </si>
  <si>
    <t>Shelter Replacement</t>
  </si>
  <si>
    <t>ODP/911 EQUIPMT</t>
  </si>
  <si>
    <t>REC (BOC)</t>
  </si>
  <si>
    <t>funding eliminated?</t>
  </si>
  <si>
    <t>Interest Pinnacle</t>
  </si>
  <si>
    <t>Dues and fees</t>
  </si>
  <si>
    <t>note 1: this is now a revenue only for BOC transit program</t>
  </si>
  <si>
    <t>DFACs Trans Grant</t>
  </si>
  <si>
    <t>note 6: meals on wheels</t>
  </si>
  <si>
    <t>note 2 Dept had 5% overall cut in FY09</t>
  </si>
  <si>
    <t>Building repairs</t>
  </si>
  <si>
    <t>budgeted deficit:</t>
  </si>
  <si>
    <t>other major one time capital budgeted:</t>
  </si>
  <si>
    <t>Misc Insurance Claims</t>
  </si>
  <si>
    <t>Athens Digital</t>
  </si>
  <si>
    <t>Translater</t>
  </si>
  <si>
    <t>Software Maint</t>
  </si>
  <si>
    <t>Sherirr/Tax Building</t>
  </si>
  <si>
    <t>Structure moving escort</t>
  </si>
  <si>
    <t>Elbert/Juv Judge</t>
  </si>
  <si>
    <t>program moved to another county fy10 see 26000</t>
  </si>
  <si>
    <t>elim line item fy10</t>
  </si>
  <si>
    <t>Court Equip Maint</t>
  </si>
  <si>
    <t>note 1:  State charges for use of prison crew.  We applied and received exemption in FY05, 06,07, 08, 09 and 10</t>
  </si>
  <si>
    <t>Part Time Wages</t>
  </si>
  <si>
    <t>note 4;  Salary reduced by amount reimbursed by transit grant see 55400</t>
  </si>
  <si>
    <t>note 1,4</t>
  </si>
  <si>
    <t>map plotter</t>
  </si>
  <si>
    <t>Rent Contract Reval Office space</t>
  </si>
  <si>
    <t>ESRI Training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</si>
  <si>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</si>
  <si>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</si>
  <si>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</si>
  <si>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</si>
  <si>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</si>
  <si>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</si>
  <si>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Extra Wages Pres. Election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</si>
  <si>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</si>
  <si>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</si>
  <si>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</si>
  <si>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</si>
  <si>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</si>
  <si>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</si>
  <si>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</si>
  <si>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</si>
  <si>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</si>
  <si>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</si>
  <si>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</si>
  <si>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</si>
  <si>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</si>
  <si>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</si>
  <si>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</si>
  <si>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</si>
  <si>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</si>
  <si>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</si>
  <si>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</si>
  <si>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</si>
  <si>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</si>
  <si>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</si>
  <si>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</si>
  <si>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</si>
  <si>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</si>
  <si>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</si>
  <si>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</si>
  <si>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</si>
  <si>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</si>
  <si>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</si>
  <si>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</si>
  <si>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</si>
  <si>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</si>
  <si>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</si>
  <si>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</si>
  <si>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</si>
  <si>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</si>
  <si>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</si>
  <si>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</si>
  <si>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</si>
  <si>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</si>
  <si>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</si>
  <si>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</si>
  <si>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</si>
  <si>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</si>
  <si>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</si>
  <si>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</si>
  <si>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</si>
  <si>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</si>
  <si>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</si>
  <si>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</si>
  <si>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</si>
  <si>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</si>
  <si>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</si>
  <si>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</si>
  <si>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</si>
  <si>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</si>
  <si>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</si>
  <si>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</si>
  <si>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</si>
  <si>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</si>
  <si>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</si>
  <si>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</si>
  <si>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</si>
  <si>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</si>
  <si>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</si>
  <si>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IKON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</si>
  <si>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</si>
  <si>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</si>
  <si>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</si>
  <si>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</si>
  <si>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</si>
  <si>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</si>
  <si>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</si>
  <si>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</si>
  <si>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</si>
  <si>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</si>
  <si>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</si>
  <si>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</si>
  <si>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</si>
  <si>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</si>
  <si>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</si>
  <si>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</si>
  <si>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</si>
  <si>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</si>
  <si>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</si>
  <si>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</si>
  <si>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</si>
  <si>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</si>
  <si>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</si>
  <si>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</si>
  <si>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</si>
  <si>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</si>
  <si>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</si>
  <si>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</si>
  <si>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</si>
  <si>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</si>
  <si>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</si>
  <si>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</si>
  <si>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</si>
  <si>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</si>
  <si>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</si>
  <si>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</si>
  <si>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</si>
  <si>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</si>
  <si>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</si>
  <si>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</si>
  <si>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Tech/IOS Capital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</si>
  <si>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</si>
  <si>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</si>
  <si>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</si>
  <si>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</si>
  <si>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</si>
  <si>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</si>
  <si>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</si>
  <si>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</si>
  <si>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</si>
  <si>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</si>
  <si>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</si>
  <si>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</si>
  <si>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</si>
  <si>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</si>
  <si>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</si>
  <si>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</si>
  <si>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</si>
  <si>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</si>
  <si>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</si>
  <si>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</si>
  <si>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</si>
  <si>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</si>
  <si>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</si>
  <si>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</si>
  <si>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</si>
  <si>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</si>
  <si>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</si>
  <si>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</si>
  <si>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</si>
  <si>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</si>
  <si>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</si>
  <si>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</si>
  <si>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</si>
  <si>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</si>
  <si>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</si>
  <si>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</si>
  <si>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</si>
  <si>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</si>
  <si>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</si>
  <si>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Site improvements</t>
  </si>
  <si>
    <t>Other supplies</t>
  </si>
  <si>
    <t>Highways &amp; Streets</t>
  </si>
  <si>
    <t>Bushhog R-O-W</t>
  </si>
  <si>
    <t>Bldgs/grounds supplies</t>
  </si>
  <si>
    <t>Grader blades</t>
  </si>
  <si>
    <t>Machinery</t>
  </si>
  <si>
    <t>Office Supplies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</si>
  <si>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</si>
  <si>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</si>
  <si>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</si>
  <si>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</si>
  <si>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</si>
  <si>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</si>
  <si>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</si>
  <si>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</si>
  <si>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</si>
  <si>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</si>
  <si>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</si>
  <si>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</si>
  <si>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</si>
  <si>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</si>
  <si>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</si>
  <si>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</si>
  <si>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North Georgia MH/MR/SA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</si>
  <si>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</si>
  <si>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</si>
  <si>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</si>
  <si>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</si>
  <si>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</si>
  <si>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</si>
  <si>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</si>
  <si>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</si>
  <si>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</si>
  <si>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</si>
  <si>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</si>
  <si>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</si>
  <si>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</si>
  <si>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</si>
  <si>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</si>
  <si>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</si>
  <si>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</si>
  <si>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</si>
  <si>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</si>
  <si>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</si>
  <si>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</si>
  <si>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</si>
  <si>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</si>
  <si>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</si>
  <si>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</si>
  <si>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</si>
  <si>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</si>
  <si>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</si>
  <si>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</si>
  <si>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</si>
  <si>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</si>
  <si>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</si>
  <si>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</si>
  <si>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</si>
  <si>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</si>
  <si>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</si>
  <si>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</si>
  <si>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</si>
  <si>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</si>
  <si>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</si>
  <si>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</si>
  <si>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</si>
  <si>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</si>
  <si>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</si>
  <si>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</si>
  <si>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</si>
  <si>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</si>
  <si>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</si>
  <si>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</si>
  <si>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VOTER REGISTRATION LIST</t>
  </si>
  <si>
    <t>TRANSFER TO WATER &amp; SEWER</t>
  </si>
  <si>
    <t>RAFFLE TICKETS/REC</t>
  </si>
  <si>
    <t>Housekeeping</t>
  </si>
  <si>
    <t>Number of FT Authorized People</t>
  </si>
  <si>
    <t>Professional (Litigation)</t>
  </si>
  <si>
    <t>Auditor -General Fund</t>
  </si>
  <si>
    <t>Radios</t>
  </si>
  <si>
    <t>Admin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</si>
  <si>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</si>
  <si>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</si>
  <si>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</si>
  <si>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</si>
  <si>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</si>
  <si>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</si>
  <si>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</si>
  <si>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</si>
  <si>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</si>
  <si>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</si>
  <si>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</si>
  <si>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</si>
  <si>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</si>
  <si>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</si>
  <si>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</si>
  <si>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</si>
  <si>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</si>
  <si>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</si>
  <si>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</si>
  <si>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</si>
  <si>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</si>
  <si>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</si>
  <si>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</si>
  <si>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</si>
  <si>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</si>
  <si>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</si>
  <si>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</si>
  <si>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</si>
  <si>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</si>
  <si>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</si>
  <si>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</si>
  <si>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</si>
  <si>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</si>
  <si>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</si>
  <si>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</si>
  <si>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</si>
  <si>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</si>
  <si>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</si>
  <si>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</si>
  <si>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</si>
  <si>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</si>
  <si>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</si>
  <si>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</si>
  <si>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</si>
  <si>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</si>
  <si>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</si>
  <si>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</si>
  <si>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</si>
  <si>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</si>
  <si>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</si>
  <si>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</si>
  <si>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</si>
  <si>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</si>
  <si>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</si>
  <si>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</si>
  <si>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</si>
  <si>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</si>
  <si>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</si>
  <si>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</si>
  <si>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</si>
  <si>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</si>
  <si>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</si>
  <si>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</si>
  <si>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</si>
  <si>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OTHER FEES</t>
  </si>
  <si>
    <t>PROTECTIVE ARMOR  R=GRANT</t>
  </si>
  <si>
    <t>CLOSE OUT UMPIRE ACCOUNT</t>
  </si>
  <si>
    <t>OTHER CHARGES FOR SERVICES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</si>
  <si>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</si>
  <si>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</si>
  <si>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</si>
  <si>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</si>
  <si>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</si>
  <si>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</si>
  <si>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</si>
  <si>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</si>
  <si>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</si>
  <si>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</si>
  <si>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</si>
  <si>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</si>
  <si>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</si>
  <si>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</si>
  <si>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</si>
  <si>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</si>
  <si>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</si>
  <si>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</si>
  <si>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</si>
  <si>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</si>
  <si>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</si>
  <si>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</si>
  <si>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</si>
  <si>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</si>
  <si>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</si>
  <si>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</si>
  <si>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</si>
  <si>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</si>
  <si>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</si>
  <si>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</si>
  <si>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</si>
  <si>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</si>
  <si>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</si>
  <si>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</si>
  <si>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</si>
  <si>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</si>
  <si>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</si>
  <si>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</si>
  <si>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</si>
  <si>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</si>
  <si>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</si>
  <si>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</si>
  <si>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</si>
  <si>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</si>
  <si>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</si>
  <si>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</si>
  <si>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</si>
  <si>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</si>
  <si>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</si>
  <si>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</si>
  <si>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</si>
  <si>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</si>
  <si>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</si>
  <si>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</si>
  <si>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Proj.</t>
  </si>
  <si>
    <t>100.42000.Highways &amp; Streets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</si>
  <si>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</si>
  <si>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</si>
  <si>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</si>
  <si>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</si>
  <si>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</si>
  <si>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</si>
  <si>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</si>
  <si>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</si>
  <si>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</si>
  <si>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</si>
  <si>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</si>
  <si>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</si>
  <si>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</si>
  <si>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</si>
  <si>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</si>
  <si>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Health Insurance</t>
  </si>
  <si>
    <t>Board of Assessors</t>
  </si>
  <si>
    <t>Liability insurance/general</t>
  </si>
  <si>
    <t>%</t>
  </si>
  <si>
    <t>GOHS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</si>
  <si>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</si>
  <si>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</si>
  <si>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</si>
  <si>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</si>
  <si>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</si>
  <si>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</si>
  <si>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</si>
  <si>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</si>
  <si>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</si>
  <si>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</si>
  <si>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</si>
  <si>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</si>
  <si>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</si>
  <si>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</si>
  <si>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</si>
  <si>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</si>
  <si>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</si>
  <si>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</si>
  <si>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</si>
  <si>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</si>
  <si>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</si>
  <si>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</si>
  <si>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</si>
  <si>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</si>
  <si>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</si>
  <si>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</si>
  <si>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</si>
  <si>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</si>
  <si>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</si>
  <si>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</si>
  <si>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</si>
  <si>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</si>
  <si>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</si>
  <si>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</si>
  <si>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</si>
  <si>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</si>
  <si>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</si>
  <si>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</si>
  <si>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</si>
  <si>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</si>
  <si>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</si>
  <si>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</si>
  <si>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</si>
  <si>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</si>
  <si>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</si>
  <si>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</si>
  <si>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</si>
  <si>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</si>
  <si>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</si>
  <si>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</si>
  <si>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In Jail GF and 204 account</t>
  </si>
  <si>
    <t xml:space="preserve">will not get if remove this fee 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</si>
  <si>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</si>
  <si>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</si>
  <si>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</si>
  <si>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</si>
  <si>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</si>
  <si>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</si>
  <si>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trailer for trash</t>
  </si>
  <si>
    <t>van for trash</t>
  </si>
  <si>
    <t>Comm/radios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</si>
  <si>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</si>
  <si>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</si>
  <si>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</si>
  <si>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</si>
  <si>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</si>
  <si>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</si>
  <si>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</si>
  <si>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see 204 acct. also</t>
  </si>
  <si>
    <t>oil &amp; petroleum</t>
  </si>
  <si>
    <t>outside labor</t>
  </si>
  <si>
    <t>grant homeland security</t>
  </si>
  <si>
    <t>education &amp; training</t>
  </si>
  <si>
    <t>note 4</t>
  </si>
  <si>
    <t>Increases through years</t>
  </si>
  <si>
    <t>WC</t>
  </si>
  <si>
    <t>Liability/general</t>
  </si>
  <si>
    <t>Ave</t>
  </si>
  <si>
    <t>note 5</t>
  </si>
  <si>
    <t>Replace 4 BP monitors</t>
  </si>
  <si>
    <t>replace 4 portable suctions</t>
  </si>
  <si>
    <t>Fire alarm admin building</t>
  </si>
  <si>
    <t>No request submitted yet</t>
  </si>
  <si>
    <t>Revenues less Expenses Final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</si>
  <si>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</si>
  <si>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</si>
  <si>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</si>
  <si>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</si>
  <si>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</si>
  <si>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Ga bioterrorism</t>
  </si>
  <si>
    <t xml:space="preserve">Juvenile </t>
  </si>
  <si>
    <t>Drink Machine Revenues</t>
  </si>
  <si>
    <t>Gas/ misc detention center</t>
  </si>
  <si>
    <t>Sheriff Fees-Add to 34.2910</t>
  </si>
  <si>
    <t>Maintenance/Stretchers</t>
  </si>
  <si>
    <t>ADMINISTRATOR</t>
  </si>
  <si>
    <t>COMMISSION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</si>
  <si>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</si>
  <si>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</si>
  <si>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</si>
  <si>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</si>
  <si>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</si>
  <si>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</si>
  <si>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</si>
  <si>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</si>
  <si>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</si>
  <si>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</si>
  <si>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</si>
  <si>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</si>
  <si>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</si>
  <si>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</si>
  <si>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</si>
  <si>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</si>
  <si>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</si>
  <si>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</si>
  <si>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contract buyout (deputy)</t>
  </si>
  <si>
    <t>radar unit</t>
  </si>
  <si>
    <t>coroners inquest</t>
  </si>
  <si>
    <t>communications tower</t>
  </si>
  <si>
    <t>HSRA Grant</t>
  </si>
  <si>
    <t>04 Missed Payment</t>
  </si>
  <si>
    <t>Revenues less Expenses Admin</t>
  </si>
  <si>
    <t xml:space="preserve">note 2: </t>
  </si>
  <si>
    <t>Water Authority expenses are no longer included in these line items.  Water authority is billed for 25% of these costs</t>
  </si>
  <si>
    <t>Fund Balance Transfer</t>
  </si>
  <si>
    <t>Runway Extension</t>
  </si>
  <si>
    <t>meeting room cushions</t>
  </si>
  <si>
    <t>courthouse security</t>
  </si>
  <si>
    <t>voting machines</t>
  </si>
  <si>
    <t>Note 4: Mail Fees Rev:</t>
  </si>
  <si>
    <t>Clerk of Court Recording Fee-FIFA</t>
  </si>
  <si>
    <t>fee for transporting bodies to crime lab</t>
  </si>
  <si>
    <t>computer</t>
  </si>
  <si>
    <t>capital</t>
  </si>
  <si>
    <t>replace cardiac monitors</t>
  </si>
  <si>
    <t>Day room furniture</t>
  </si>
  <si>
    <t>Maint/ICON</t>
  </si>
  <si>
    <t>Technical/GTA</t>
  </si>
  <si>
    <t>Part time employees</t>
  </si>
  <si>
    <t>OPD Grant</t>
  </si>
  <si>
    <t>note 2: see audit and other information, note taxation based on participation of operating expenses</t>
  </si>
  <si>
    <t>part time</t>
  </si>
  <si>
    <t>rec % ovr</t>
  </si>
  <si>
    <t>prior yr</t>
  </si>
  <si>
    <t>tax sale</t>
  </si>
  <si>
    <t>Part Time wages</t>
  </si>
  <si>
    <t>City of Hartwell Parking Lot</t>
  </si>
  <si>
    <t>Used Vehicle Purchase</t>
  </si>
  <si>
    <t xml:space="preserve">  </t>
  </si>
  <si>
    <t>Economic Developer- full time</t>
  </si>
  <si>
    <t>Revenue Growth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</si>
  <si>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</si>
  <si>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</si>
  <si>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</si>
  <si>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</si>
  <si>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</si>
  <si>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</si>
  <si>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</si>
  <si>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</si>
  <si>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Misdemeanor Probation</t>
  </si>
  <si>
    <t>Technical-GCIC</t>
  </si>
  <si>
    <t>Witness subpoena</t>
  </si>
  <si>
    <t>Oglethorp/ juvinile court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</si>
  <si>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</si>
  <si>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</si>
  <si>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</si>
  <si>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</si>
  <si>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</si>
  <si>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</si>
  <si>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</si>
  <si>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</si>
  <si>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O &amp; M Expenses</t>
  </si>
  <si>
    <t>Indigent Burial</t>
  </si>
  <si>
    <t>rev. for grant 52.2214</t>
  </si>
  <si>
    <t>Auditor</t>
  </si>
  <si>
    <t>GA Forestry</t>
  </si>
  <si>
    <t>Terminal Expansion</t>
  </si>
  <si>
    <t>Ninth Dist. Opportunity</t>
  </si>
  <si>
    <t>Assessment Penalty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</si>
  <si>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</si>
  <si>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</si>
  <si>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</si>
  <si>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</si>
  <si>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</si>
  <si>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</si>
  <si>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</si>
  <si>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</si>
  <si>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</si>
  <si>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</si>
  <si>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</si>
  <si>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</si>
  <si>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</si>
  <si>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</si>
  <si>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</si>
  <si>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</si>
  <si>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</si>
  <si>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</si>
  <si>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</si>
  <si>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</si>
  <si>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</si>
  <si>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</si>
  <si>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</si>
  <si>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</si>
  <si>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</si>
  <si>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</si>
  <si>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</si>
  <si>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</si>
  <si>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</si>
  <si>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</si>
  <si>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</si>
  <si>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Supplemental funding- Heating Assistance</t>
  </si>
  <si>
    <t>Van Drivers DFACs grant</t>
  </si>
  <si>
    <t>66% payroll</t>
  </si>
  <si>
    <t>Mold Remediation Library</t>
  </si>
  <si>
    <t>Roof Replacement</t>
  </si>
  <si>
    <t>Admin. Cuts fr. Prior year bud.</t>
  </si>
  <si>
    <t>Dispatcher Salary</t>
  </si>
  <si>
    <t>Audit</t>
  </si>
  <si>
    <t>Vehicle Insurance</t>
  </si>
  <si>
    <t>Wages-Regular Employees</t>
  </si>
  <si>
    <t>Wages-Temporary Employees</t>
  </si>
  <si>
    <t>Education and training</t>
  </si>
  <si>
    <t>storage rental</t>
  </si>
  <si>
    <t>Part Time Employees</t>
  </si>
  <si>
    <t>Wages-full time</t>
  </si>
  <si>
    <t>in line 54.2550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</si>
  <si>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</si>
  <si>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</si>
  <si>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</si>
  <si>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</si>
  <si>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</si>
  <si>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</si>
  <si>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</si>
  <si>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move to 203?</t>
  </si>
  <si>
    <t>Revenue 34.2600</t>
  </si>
  <si>
    <t>Job Incentive Pay</t>
  </si>
  <si>
    <t>note 2: Criminal Justice Software</t>
  </si>
  <si>
    <t>note 2 software, website, virus protection (all county departments)</t>
  </si>
  <si>
    <t>Sex Offender Regisrtry Website</t>
  </si>
  <si>
    <t>Express Poll Machines</t>
  </si>
  <si>
    <t>Cott/wingapp</t>
  </si>
  <si>
    <t>NACO</t>
  </si>
  <si>
    <t>Library Reconstruction Grant</t>
  </si>
  <si>
    <t>Library Reconstruction</t>
  </si>
  <si>
    <t>LOST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</si>
  <si>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</si>
  <si>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</si>
  <si>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</si>
  <si>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</si>
  <si>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</si>
  <si>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</si>
  <si>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</si>
  <si>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</si>
  <si>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</si>
  <si>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</si>
  <si>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</si>
  <si>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</si>
  <si>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</si>
  <si>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</si>
  <si>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</si>
  <si>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Inmate Social Security</t>
  </si>
  <si>
    <t>Rents/royaltees</t>
  </si>
  <si>
    <t>batteries</t>
  </si>
  <si>
    <t>Library Carpet</t>
  </si>
  <si>
    <t xml:space="preserve"> pr yr bud.</t>
  </si>
  <si>
    <t>Auditor -GASB34</t>
  </si>
  <si>
    <t>vehicle</t>
  </si>
  <si>
    <t>Website Services</t>
  </si>
  <si>
    <t>Repairs &amp; Maint</t>
  </si>
  <si>
    <t>Rent IBA</t>
  </si>
  <si>
    <t>Other Prof. Services</t>
  </si>
  <si>
    <t>Economic Developer</t>
  </si>
  <si>
    <t>Building Maintenance</t>
  </si>
  <si>
    <t>Hart Haven house maintenance</t>
  </si>
  <si>
    <t>Copier Maint</t>
  </si>
  <si>
    <t>overall note:  actual expenditures may vary depending on jail population and costs for repairs and maint</t>
  </si>
  <si>
    <t>website maint</t>
  </si>
  <si>
    <t>Uniforms</t>
  </si>
  <si>
    <t>Fire proof cabinets</t>
  </si>
  <si>
    <t>note 1: includes State COLA for tax comm.</t>
  </si>
  <si>
    <t>Lateral file cabinets</t>
  </si>
  <si>
    <t>admin</t>
  </si>
  <si>
    <t>final</t>
  </si>
  <si>
    <t>BOA Mapping Project</t>
  </si>
  <si>
    <t>Substation</t>
  </si>
  <si>
    <t>Sheriff/Tax Buildings</t>
  </si>
  <si>
    <t>Admin Building Roof</t>
  </si>
  <si>
    <t>Pandemic Flu Grant</t>
  </si>
  <si>
    <t>Maintenance cardiac monitors</t>
  </si>
  <si>
    <t>Hotel/Motel Tax</t>
  </si>
  <si>
    <t>Heavy Equipment</t>
  </si>
  <si>
    <t>Ins/ Deductible</t>
  </si>
  <si>
    <t>DA Building Security</t>
  </si>
  <si>
    <t>Criminal Jusitce/ Magis</t>
  </si>
  <si>
    <t>Animal Shelter Study</t>
  </si>
  <si>
    <t xml:space="preserve">PTO </t>
  </si>
  <si>
    <t>move to 27500 Fy09</t>
  </si>
  <si>
    <t>Law Library 27500</t>
  </si>
  <si>
    <t>see state law 36-15-7</t>
  </si>
  <si>
    <t>Maint of Ordinance Codification</t>
  </si>
  <si>
    <t>Law Library</t>
  </si>
  <si>
    <t>FY09 Remain Liab Ins.</t>
  </si>
  <si>
    <t>FY10 Liability/general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</si>
  <si>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</si>
  <si>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</si>
  <si>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</si>
  <si>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</si>
  <si>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</si>
  <si>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</si>
  <si>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</si>
  <si>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</si>
  <si>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</si>
  <si>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</si>
  <si>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</si>
  <si>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</si>
  <si>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</si>
  <si>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</si>
  <si>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</si>
  <si>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</si>
  <si>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</si>
  <si>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</si>
  <si>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</si>
  <si>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</si>
  <si>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</si>
  <si>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</si>
  <si>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</si>
  <si>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</si>
  <si>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</si>
  <si>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</si>
  <si>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</si>
  <si>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</si>
  <si>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</si>
  <si>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</si>
  <si>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</si>
  <si>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</si>
  <si>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</si>
  <si>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</si>
  <si>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</si>
  <si>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</si>
  <si>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</si>
  <si>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</si>
  <si>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</si>
  <si>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</si>
  <si>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</si>
  <si>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</si>
  <si>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</si>
  <si>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</si>
  <si>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</si>
  <si>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</si>
  <si>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</si>
  <si>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</si>
  <si>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</si>
  <si>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</si>
  <si>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</si>
  <si>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</si>
  <si>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</si>
  <si>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</si>
  <si>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</si>
  <si>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</si>
  <si>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</si>
  <si>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</si>
  <si>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</si>
  <si>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</si>
  <si>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</si>
  <si>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</si>
  <si>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</si>
  <si>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</si>
  <si>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</si>
  <si>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combined w/parts</t>
  </si>
  <si>
    <t>REVENUES</t>
  </si>
  <si>
    <t>note 3: depends on participate #'s. Revenue generator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</si>
  <si>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</si>
  <si>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</si>
  <si>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</si>
  <si>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</si>
  <si>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</si>
  <si>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</si>
  <si>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</si>
  <si>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</si>
  <si>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</si>
  <si>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</si>
  <si>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</si>
  <si>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</si>
  <si>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</si>
  <si>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</si>
  <si>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</si>
  <si>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</si>
  <si>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</si>
  <si>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</si>
  <si>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</si>
  <si>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Hart State Park Cabin</t>
  </si>
  <si>
    <t>public defender 06 missed</t>
  </si>
  <si>
    <t>DFACs Van Replacement</t>
  </si>
  <si>
    <t>Foster Care Projgram</t>
  </si>
  <si>
    <t>note 3 charged to the departments starting in FY08</t>
  </si>
  <si>
    <t>note 4: copier under warranty FY08</t>
  </si>
  <si>
    <t>Extra Wages/fica city Election</t>
  </si>
  <si>
    <t>Extra Pay for Provissional Ballot Count</t>
  </si>
  <si>
    <t>Extra Pay for July Primary</t>
  </si>
  <si>
    <t>Extra Pay for Aug. Runoff</t>
  </si>
  <si>
    <t>PO Box Rental</t>
  </si>
  <si>
    <t>PO Box</t>
  </si>
  <si>
    <t>Maint dup products</t>
  </si>
  <si>
    <t>Scan plats</t>
  </si>
  <si>
    <t>FY10 &amp; 11 expect a lot of appeals from contrct reval, will probably need to revisit this budget mid fiscal year</t>
  </si>
  <si>
    <t>Note 1:</t>
  </si>
  <si>
    <t>note 2, 3</t>
  </si>
  <si>
    <t>Note 3:  funding reccomendation matches Franklin Counties Contribution</t>
  </si>
  <si>
    <t>AWOS</t>
  </si>
  <si>
    <t>Beacon</t>
  </si>
  <si>
    <t>program eliminated</t>
  </si>
  <si>
    <t>none for fy10</t>
  </si>
  <si>
    <t>note 2;  BOC approved sending half the office to savanah for training FY09 and then other half FY10</t>
  </si>
  <si>
    <t>Special Court Project</t>
  </si>
  <si>
    <t>GMASS GIS Work</t>
  </si>
  <si>
    <t>Courthouse AC unit replacement</t>
  </si>
  <si>
    <t>Note 6: comm approved hold on filling 2 vacant positions FY10 remaining 3 vacant positons filled in spring (6th month of FY, 7 months total)</t>
  </si>
  <si>
    <t>Part Time</t>
  </si>
  <si>
    <t>note1,2,4</t>
  </si>
  <si>
    <t>Transit System DOT Grant 5311</t>
  </si>
  <si>
    <t>DHR TANFGrant</t>
  </si>
  <si>
    <t>DHR Aging Grant</t>
  </si>
  <si>
    <t>THIS BUDGET WILL BE UNDER DEVELOPMENT IN FY10</t>
  </si>
  <si>
    <t>BOC CUTS</t>
  </si>
  <si>
    <t>Admin. Cuts from Budget Requests:</t>
  </si>
  <si>
    <t>BOC Cuts from Admin. Budget:</t>
  </si>
  <si>
    <t>Total Cuts from Budget Requests:</t>
  </si>
  <si>
    <t>special reimbursement (w/c)</t>
  </si>
  <si>
    <t>10-11</t>
  </si>
  <si>
    <t>2010-2011</t>
  </si>
  <si>
    <t>GMASS Data Entry</t>
  </si>
  <si>
    <t>Flagger Course</t>
  </si>
  <si>
    <t>HVAC Unit</t>
  </si>
  <si>
    <t>Food</t>
  </si>
  <si>
    <t>to match audit or expected AP</t>
  </si>
  <si>
    <t>Lgacy Link Grant</t>
  </si>
  <si>
    <t>TOTAL:</t>
  </si>
  <si>
    <t>Rev/Exp Ratio</t>
  </si>
  <si>
    <t>Fees/Exp Ratio</t>
  </si>
  <si>
    <t>Total Revs/Exp Ratio</t>
  </si>
  <si>
    <t>5311 Grant DOT</t>
  </si>
  <si>
    <t>Transit fees</t>
  </si>
  <si>
    <t>Temp Wages</t>
  </si>
  <si>
    <t>Program Fees</t>
  </si>
  <si>
    <t>Recording FIFAS</t>
  </si>
  <si>
    <t>Furniture/Fixtures</t>
  </si>
  <si>
    <t>Sustain Software Purchase</t>
  </si>
  <si>
    <t>5th district probate judge</t>
  </si>
  <si>
    <t>Transit Supervisor Wages</t>
  </si>
  <si>
    <t>Senior Center Rental</t>
  </si>
  <si>
    <t>Note 1: Partially Legacy Link Grant Funded</t>
  </si>
  <si>
    <t>note 1,2</t>
  </si>
  <si>
    <t>note:1 move to 27500 Fy09</t>
  </si>
  <si>
    <t xml:space="preserve">note 1: BOC reduced hours to 21.5 per week in FY09 continued in FY10, </t>
  </si>
  <si>
    <t>Extra Wages Clerk for Election</t>
  </si>
  <si>
    <t>Extra wages registrars for election</t>
  </si>
  <si>
    <t>Fax</t>
  </si>
  <si>
    <t>Baseball Supplies</t>
  </si>
  <si>
    <t>note 3: State budget cut funding for this expense so local expense will increase actual increase may be more than requested</t>
  </si>
  <si>
    <t>% Rev/Exp</t>
  </si>
  <si>
    <t>note 1:  Expenses moved to 110 acct FY09</t>
  </si>
  <si>
    <t>note 2:  GA Trend Advertisement Requested FY11</t>
  </si>
  <si>
    <t>Note 3</t>
  </si>
  <si>
    <t>note 3: need to eveluate where we are with 09 reval at end of FY10</t>
  </si>
  <si>
    <t>DOR order tax penalty</t>
  </si>
  <si>
    <t>Missed pmt</t>
  </si>
  <si>
    <t>change schedules</t>
  </si>
  <si>
    <t>Senior Center Meals</t>
  </si>
  <si>
    <t>Donations</t>
  </si>
  <si>
    <t>note 2:  see long range EMS capital replacement plan</t>
  </si>
  <si>
    <t>NEED BUDGET REQUEST</t>
  </si>
  <si>
    <t>Note 1: program dead</t>
  </si>
  <si>
    <t>Jury Duty Compensation</t>
  </si>
  <si>
    <t>note 2;  Grand Jury presentments required by law to be put in newspaper.  Twice per year at $800 per time</t>
  </si>
  <si>
    <t>BOE pay</t>
  </si>
  <si>
    <t>Energy/water</t>
  </si>
  <si>
    <t>Note 3:  See vehicle replacement schedule (5 year plan), replace vehicles over 200,000 miles</t>
  </si>
  <si>
    <t>Rev/exp ratio</t>
  </si>
  <si>
    <t>move to 33260</t>
  </si>
  <si>
    <t>Fingerprinting</t>
  </si>
  <si>
    <t>from 33000</t>
  </si>
  <si>
    <t>note 1: used 204 account for this in fy10</t>
  </si>
  <si>
    <t>note 8</t>
  </si>
  <si>
    <t>note 4: for continuous updates of splits and merges</t>
  </si>
  <si>
    <t xml:space="preserve">note 5: new state law requires more notices sent </t>
  </si>
  <si>
    <t xml:space="preserve">note 8: for high density file cabinet system </t>
  </si>
  <si>
    <t>Note 3: Ongoing project to scan all plats over several years</t>
  </si>
  <si>
    <t>replace 4 stretchers</t>
  </si>
  <si>
    <t>Athletic tournaments</t>
  </si>
  <si>
    <t>Courthouse Grounds Supplies</t>
  </si>
  <si>
    <t>Courthouse Annex Roof Replacement</t>
  </si>
  <si>
    <t>note 2: amount for part time 20 hrs/wk in lieu of full time</t>
  </si>
  <si>
    <t>Note 1: Jury Compensation</t>
  </si>
  <si>
    <t>Cost for Rebill 2009</t>
  </si>
  <si>
    <t>Cost for Rebill 2010</t>
  </si>
  <si>
    <t>note  2</t>
  </si>
  <si>
    <t>Note 2:  Total cost for tbx, attorney, postage, office supplies for each rebilling estimated to take place in FY</t>
  </si>
  <si>
    <t>Note 3: Deprt Requests two full time positions</t>
  </si>
  <si>
    <t>note 4:  Required by state law, new costs being shifted to county  from state FY11</t>
  </si>
  <si>
    <t>note 4:  equipment maintained by State now passed onto county to maintain moved to 21500 for FY11</t>
  </si>
  <si>
    <t>note 2:  equipment maintained by State now passed onto county to maintain moved from 21800 for FY11</t>
  </si>
  <si>
    <t>major one time capital in budget:</t>
  </si>
  <si>
    <t>Total Budgeted O&amp;M Deficit:</t>
  </si>
  <si>
    <t xml:space="preserve">note 1 </t>
  </si>
  <si>
    <t>note 1: If 2010 census is above 28,999 need to add $17,000 to BOC pay</t>
  </si>
  <si>
    <t>note 3: If 2010 census is above 28,999 need to add $3,400 to Tax Comm pay</t>
  </si>
  <si>
    <t>note 1, 3</t>
  </si>
  <si>
    <t>note 5: If 2010 census is above 28,999 need to add $3,400 to COC pay</t>
  </si>
  <si>
    <t>note 4: If 2010 census is above 28,999 need to add at least $3,400 to Judge pay</t>
  </si>
  <si>
    <t>note 4: If 2010 census is above 28,999 need to add $3,400 to Judge pay</t>
  </si>
  <si>
    <t>note 5: If 2010 census is above 28,999 need to add $3,400 to Sheriff pay</t>
  </si>
  <si>
    <t>Ikon Copier Maint</t>
  </si>
  <si>
    <t>note 1: moved from 21500 in FY11. Actuals for FY09 and FY10 reported in 21500</t>
  </si>
  <si>
    <t>note 3: moved from to 15300 in FY11. Actuals for FY09 and FY10 were in 21500</t>
  </si>
  <si>
    <t>note 6: Includes vacant secretary position</t>
  </si>
  <si>
    <t>note 2:  This is amounts above deductible and is 100% repaid by insurance payments</t>
  </si>
  <si>
    <t xml:space="preserve">note1: "speculation" means that at this point we do not know more firm numbers for insurance. Actual numbers become more concrete when new policy received first quarter of next fiscal year </t>
  </si>
  <si>
    <t>note 1:  FY11 expense line items reduced due to billing SR funds for their coverage, will affect revenue also</t>
  </si>
  <si>
    <t>direct billing to SR FUNDS FY11</t>
  </si>
  <si>
    <t>note 2: FY11 only telephone for admin office in this account remainder moved to 10000 account (support of all governmental operations)</t>
  </si>
  <si>
    <t>note 6: FY11 only telephone for admin office in this account remainder moved to 10000 account (support of all governmental operations)</t>
  </si>
  <si>
    <t>Extra Wages for General Election</t>
  </si>
  <si>
    <t>note 6: FY11 dropped several lines including road dept and road dept rollover</t>
  </si>
  <si>
    <t>2 sheriff car grants</t>
  </si>
  <si>
    <t>Mega Ramp Fees</t>
  </si>
  <si>
    <t>Legacy Links Grant</t>
  </si>
  <si>
    <t>comm</t>
  </si>
  <si>
    <t xml:space="preserve">cuts </t>
  </si>
  <si>
    <t>fr admin</t>
  </si>
  <si>
    <t xml:space="preserve">BOC Running total </t>
  </si>
  <si>
    <t>note 2: To help with Courthouse overcrowding issues, BOC desires to spread over FY11 and FY12</t>
  </si>
  <si>
    <t>based on Admin Bldg</t>
  </si>
  <si>
    <t>Note 3: Split purchases over FY11 &amp; 12</t>
  </si>
  <si>
    <t>note 9</t>
  </si>
  <si>
    <t>note 9:  Personal Property Audit will be required in FY12 per DOR Consent Order</t>
  </si>
  <si>
    <t>note 1;  includes additional mechanic added in FY07 but frozen</t>
  </si>
  <si>
    <t>Requests carport for van</t>
  </si>
  <si>
    <t>Addressing signs</t>
  </si>
  <si>
    <t>Drug/alcohol testing</t>
  </si>
  <si>
    <t>NOTE: FY11 BUDGET DEPENDS ON DOT TRANSIT GRANT AND ACTUAL RIDERSHIP</t>
  </si>
  <si>
    <t>Senior Center Fund Raising Revenues</t>
  </si>
  <si>
    <t>Fund Raising Expenses</t>
  </si>
  <si>
    <t>note 7</t>
  </si>
  <si>
    <t>Note 7:  New revenue for this also</t>
  </si>
  <si>
    <t>Fund Raising Revenues</t>
  </si>
  <si>
    <t>note 6; $550/day request for gmass during appeals process</t>
  </si>
  <si>
    <t>Note 2: hold on filling 2 vacant positions FY09 included in FY11</t>
  </si>
  <si>
    <t>note 5:FY09, FY10 and FY11 Expenses shifted to 203 insurance premium fund temporarily</t>
  </si>
  <si>
    <t>note 2,5,6</t>
  </si>
  <si>
    <t>Note 2:includes vacant mechanic position frozen FY09, FY10</t>
  </si>
  <si>
    <t>note 4: BOC approved- full time secretary is part time position FY10 &amp; FY11</t>
  </si>
  <si>
    <t>note 2,4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</si>
</sst>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  <numFmt numFmtId="191" formatCode="_(&quot;$&quot;* #,##0.0000_);_(&quot;$&quot;* \(#,##0.0000\);_(&quot;$&quot;* &quot;-&quot;????_);_(@_)"/>
  </numFmts>
  <fonts count="21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2"/>
      <name val="Times New Roman"/>
      <family val="1"/>
    </font>
    <font>
      <b/>
      <sz val="8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28" applyNumberFormat="1" applyFont="1" applyAlignment="1">
      <alignment/>
    </xf>
    <xf numFmtId="10" fontId="8" fillId="0" borderId="2" xfId="28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28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0" xfId="28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18" applyNumberFormat="1" applyAlignment="1">
      <alignment/>
    </xf>
    <xf numFmtId="9" fontId="2" fillId="0" borderId="2" xfId="28" applyFon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9" fontId="2" fillId="0" borderId="0" xfId="28" applyFont="1" applyAlignment="1">
      <alignment/>
    </xf>
    <xf numFmtId="9" fontId="7" fillId="0" borderId="0" xfId="28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28" applyNumberFormat="1" applyFont="1" applyBorder="1" applyAlignment="1">
      <alignment/>
    </xf>
    <xf numFmtId="9" fontId="7" fillId="0" borderId="0" xfId="28" applyFont="1" applyAlignment="1">
      <alignment/>
    </xf>
    <xf numFmtId="9" fontId="8" fillId="0" borderId="2" xfId="28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28" applyNumberFormat="1" applyAlignment="1">
      <alignment/>
    </xf>
    <xf numFmtId="37" fontId="2" fillId="0" borderId="4" xfId="0" applyNumberFormat="1" applyFont="1" applyBorder="1" applyAlignment="1" quotePrefix="1">
      <alignment horizontal="center"/>
    </xf>
    <xf numFmtId="37" fontId="2" fillId="0" borderId="0" xfId="0" applyNumberFormat="1" applyFont="1" applyAlignment="1">
      <alignment horizontal="center"/>
    </xf>
    <xf numFmtId="172" fontId="8" fillId="0" borderId="0" xfId="28" applyNumberFormat="1" applyFont="1" applyAlignment="1">
      <alignment/>
    </xf>
    <xf numFmtId="0" fontId="0" fillId="0" borderId="0" xfId="0" applyBorder="1" applyAlignment="1">
      <alignment horizontal="center"/>
    </xf>
    <xf numFmtId="10" fontId="0" fillId="0" borderId="0" xfId="28" applyNumberFormat="1" applyAlignment="1">
      <alignment/>
    </xf>
    <xf numFmtId="10" fontId="7" fillId="0" borderId="3" xfId="28" applyNumberFormat="1" applyFont="1" applyBorder="1" applyAlignment="1">
      <alignment/>
    </xf>
    <xf numFmtId="44" fontId="15" fillId="0" borderId="0" xfId="18" applyFont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5" xfId="0" applyBorder="1" applyAlignment="1">
      <alignment/>
    </xf>
    <xf numFmtId="6" fontId="0" fillId="0" borderId="0" xfId="0" applyNumberFormat="1" applyAlignment="1">
      <alignment/>
    </xf>
    <xf numFmtId="10" fontId="2" fillId="0" borderId="2" xfId="2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72" fontId="2" fillId="0" borderId="0" xfId="28" applyNumberFormat="1" applyFont="1" applyAlignment="1">
      <alignment/>
    </xf>
    <xf numFmtId="172" fontId="2" fillId="0" borderId="2" xfId="28" applyNumberFormat="1" applyFont="1" applyBorder="1" applyAlignment="1">
      <alignment/>
    </xf>
    <xf numFmtId="172" fontId="7" fillId="0" borderId="0" xfId="28" applyNumberFormat="1" applyFont="1" applyAlignment="1">
      <alignment/>
    </xf>
    <xf numFmtId="174" fontId="15" fillId="0" borderId="0" xfId="18" applyNumberFormat="1" applyFont="1" applyAlignment="1">
      <alignment horizontal="right"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0" fillId="0" borderId="6" xfId="0" applyNumberFormat="1" applyBorder="1" applyAlignment="1">
      <alignment/>
    </xf>
    <xf numFmtId="17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0" fontId="8" fillId="0" borderId="0" xfId="0" applyFont="1" applyAlignment="1">
      <alignment horizontal="right"/>
    </xf>
    <xf numFmtId="9" fontId="8" fillId="0" borderId="0" xfId="28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28" applyNumberFormat="1" applyFont="1" applyAlignment="1">
      <alignment/>
    </xf>
    <xf numFmtId="1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28" applyNumberFormat="1" applyFont="1" applyAlignment="1">
      <alignment/>
    </xf>
    <xf numFmtId="3" fontId="16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0" fillId="0" borderId="0" xfId="0" applyNumberFormat="1" applyAlignment="1">
      <alignment horizontal="right"/>
    </xf>
    <xf numFmtId="44" fontId="7" fillId="0" borderId="0" xfId="18" applyFont="1" applyAlignment="1">
      <alignment/>
    </xf>
    <xf numFmtId="17" fontId="7" fillId="0" borderId="3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166" fontId="0" fillId="0" borderId="0" xfId="15" applyNumberFormat="1" applyAlignment="1">
      <alignment horizontal="right"/>
    </xf>
    <xf numFmtId="3" fontId="2" fillId="0" borderId="2" xfId="0" applyNumberFormat="1" applyFont="1" applyBorder="1" applyAlignment="1">
      <alignment horizontal="right"/>
    </xf>
    <xf numFmtId="9" fontId="7" fillId="0" borderId="0" xfId="28" applyFont="1" applyBorder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181" fontId="7" fillId="0" borderId="0" xfId="27" applyNumberFormat="1" applyFont="1" applyProtection="1">
      <alignment/>
      <protection locked="0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3" fontId="7" fillId="0" borderId="0" xfId="15" applyFont="1" applyAlignment="1">
      <alignment/>
    </xf>
    <xf numFmtId="9" fontId="0" fillId="0" borderId="0" xfId="28" applyFont="1" applyAlignment="1">
      <alignment horizontal="right"/>
    </xf>
    <xf numFmtId="0" fontId="7" fillId="0" borderId="3" xfId="0" applyFont="1" applyBorder="1" applyAlignment="1" quotePrefix="1">
      <alignment horizontal="center"/>
    </xf>
    <xf numFmtId="174" fontId="0" fillId="0" borderId="0" xfId="18" applyNumberFormat="1" applyAlignment="1">
      <alignment/>
    </xf>
    <xf numFmtId="0" fontId="0" fillId="0" borderId="0" xfId="0" applyFont="1" applyAlignment="1">
      <alignment horizontal="right"/>
    </xf>
    <xf numFmtId="1" fontId="7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0" fillId="0" borderId="0" xfId="15" applyNumberFormat="1" applyBorder="1" applyAlignment="1">
      <alignment horizontal="center"/>
    </xf>
    <xf numFmtId="166" fontId="2" fillId="0" borderId="2" xfId="15" applyNumberFormat="1" applyFont="1" applyBorder="1" applyAlignment="1">
      <alignment/>
    </xf>
    <xf numFmtId="3" fontId="8" fillId="0" borderId="0" xfId="0" applyNumberFormat="1" applyFont="1" applyAlignment="1">
      <alignment/>
    </xf>
    <xf numFmtId="166" fontId="7" fillId="0" borderId="0" xfId="15" applyNumberFormat="1" applyFont="1" applyBorder="1" applyAlignment="1">
      <alignment/>
    </xf>
    <xf numFmtId="166" fontId="7" fillId="0" borderId="0" xfId="15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F21800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 Rev'!$C$4:$K$4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'GF Rev'!$C$33:$K$33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1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102101.79999999888</c:v>
              </c:pt>
            </c:numLit>
          </c:val>
        </c:ser>
        <c:axId val="21336224"/>
        <c:axId val="57808289"/>
      </c:barChart>
      <c:catAx>
        <c:axId val="213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62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9432954.280000001</c:v>
              </c:pt>
              <c:pt idx="1">
                <c:v>9535056.08</c:v>
              </c:pt>
            </c:numLit>
          </c:val>
        </c:ser>
        <c:axId val="50512554"/>
        <c:axId val="51959803"/>
      </c:bar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12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"/>
              <c:pt idx="0">
                <c:v>2425198</c:v>
              </c:pt>
              <c:pt idx="1">
                <c:v>2369145.08</c:v>
              </c:pt>
            </c:numLit>
          </c:val>
          <c:smooth val="0"/>
        </c:ser>
        <c:marker val="1"/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4485"/>
        <c:crosses val="autoZero"/>
        <c:auto val="1"/>
        <c:lblOffset val="100"/>
        <c:noMultiLvlLbl val="0"/>
      </c:catAx>
      <c:valAx>
        <c:axId val="47994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85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0.010823947298936645</c:v>
              </c:pt>
            </c:numLit>
          </c:val>
        </c:ser>
        <c:axId val="29297182"/>
        <c:axId val="62348047"/>
      </c:barChart>
      <c:catAx>
        <c:axId val="2929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71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207</xdr:row>
      <xdr:rowOff>123825</xdr:rowOff>
    </xdr:from>
    <xdr:to>
      <xdr:col>8</xdr:col>
      <xdr:colOff>219075</xdr:colOff>
      <xdr:row>231</xdr:row>
      <xdr:rowOff>9525</xdr:rowOff>
    </xdr:to>
    <xdr:graphicFrame>
      <xdr:nvGraphicFramePr>
        <xdr:cNvPr id="1" name="Chart 17"/>
        <xdr:cNvGraphicFramePr/>
      </xdr:nvGraphicFramePr>
      <xdr:xfrm>
        <a:off x="285750" y="24517350"/>
        <a:ext cx="39909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194</xdr:row>
      <xdr:rowOff>152400</xdr:rowOff>
    </xdr:from>
    <xdr:to>
      <xdr:col>11</xdr:col>
      <xdr:colOff>0</xdr:colOff>
      <xdr:row>217</xdr:row>
      <xdr:rowOff>142875</xdr:rowOff>
    </xdr:to>
    <xdr:graphicFrame>
      <xdr:nvGraphicFramePr>
        <xdr:cNvPr id="2" name="Chart 20"/>
        <xdr:cNvGraphicFramePr/>
      </xdr:nvGraphicFramePr>
      <xdr:xfrm>
        <a:off x="5895975" y="22440900"/>
        <a:ext cx="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184</xdr:row>
      <xdr:rowOff>19050</xdr:rowOff>
    </xdr:from>
    <xdr:to>
      <xdr:col>11</xdr:col>
      <xdr:colOff>0</xdr:colOff>
      <xdr:row>207</xdr:row>
      <xdr:rowOff>9525</xdr:rowOff>
    </xdr:to>
    <xdr:graphicFrame>
      <xdr:nvGraphicFramePr>
        <xdr:cNvPr id="3" name="Chart 21"/>
        <xdr:cNvGraphicFramePr/>
      </xdr:nvGraphicFramePr>
      <xdr:xfrm>
        <a:off x="5895975" y="20688300"/>
        <a:ext cx="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216</xdr:row>
      <xdr:rowOff>123825</xdr:rowOff>
    </xdr:from>
    <xdr:to>
      <xdr:col>11</xdr:col>
      <xdr:colOff>0</xdr:colOff>
      <xdr:row>240</xdr:row>
      <xdr:rowOff>9525</xdr:rowOff>
    </xdr:to>
    <xdr:graphicFrame>
      <xdr:nvGraphicFramePr>
        <xdr:cNvPr id="4" name="Chart 22"/>
        <xdr:cNvGraphicFramePr/>
      </xdr:nvGraphicFramePr>
      <xdr:xfrm>
        <a:off x="5895975" y="25974675"/>
        <a:ext cx="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189</xdr:row>
      <xdr:rowOff>142875</xdr:rowOff>
    </xdr:from>
    <xdr:to>
      <xdr:col>11</xdr:col>
      <xdr:colOff>0</xdr:colOff>
      <xdr:row>212</xdr:row>
      <xdr:rowOff>142875</xdr:rowOff>
    </xdr:to>
    <xdr:graphicFrame>
      <xdr:nvGraphicFramePr>
        <xdr:cNvPr id="5" name="Chart 23"/>
        <xdr:cNvGraphicFramePr/>
      </xdr:nvGraphicFramePr>
      <xdr:xfrm>
        <a:off x="5895975" y="21621750"/>
        <a:ext cx="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ral%20fund%20cash%20flow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 cash flow"/>
      <sheetName val="fy rev compare"/>
      <sheetName val="gf cash flow delay prop taxfy10"/>
      <sheetName val="gf cash remov cap add rd w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9.140625" style="24" customWidth="1"/>
    <col min="2" max="2" width="27.8515625" style="23" customWidth="1"/>
    <col min="3" max="3" width="3.7109375" style="20" customWidth="1"/>
    <col min="4" max="4" width="27.8515625" style="23" customWidth="1"/>
    <col min="5" max="5" width="9.140625" style="24" customWidth="1"/>
    <col min="6" max="16384" width="9.140625" style="20" customWidth="1"/>
  </cols>
  <sheetData>
    <row r="1" spans="1:5" s="27" customFormat="1" ht="15">
      <c r="A1" s="25" t="s">
        <v>313</v>
      </c>
      <c r="B1" s="26" t="s">
        <v>314</v>
      </c>
      <c r="D1" s="26" t="s">
        <v>314</v>
      </c>
      <c r="E1" s="25" t="s">
        <v>313</v>
      </c>
    </row>
    <row r="2" spans="1:5" ht="12.75">
      <c r="A2" s="24">
        <v>10000</v>
      </c>
      <c r="B2" s="23" t="s">
        <v>139</v>
      </c>
      <c r="D2" s="23" t="s">
        <v>309</v>
      </c>
      <c r="E2" s="24">
        <v>34200</v>
      </c>
    </row>
    <row r="3" spans="1:5" ht="12.75">
      <c r="A3" s="24">
        <v>13000</v>
      </c>
      <c r="B3" s="23" t="s">
        <v>156</v>
      </c>
      <c r="D3" s="23" t="s">
        <v>277</v>
      </c>
      <c r="E3" s="24">
        <v>71300</v>
      </c>
    </row>
    <row r="4" spans="1:5" ht="12.75">
      <c r="A4" s="24">
        <v>14000</v>
      </c>
      <c r="B4" s="23" t="s">
        <v>112</v>
      </c>
      <c r="D4" s="23" t="s">
        <v>284</v>
      </c>
      <c r="E4" s="24">
        <v>75630</v>
      </c>
    </row>
    <row r="5" spans="1:5" ht="12.75">
      <c r="A5" s="24">
        <v>14100</v>
      </c>
      <c r="B5" s="23" t="s">
        <v>125</v>
      </c>
      <c r="D5" s="23" t="s">
        <v>223</v>
      </c>
      <c r="E5" s="24">
        <v>39100</v>
      </c>
    </row>
    <row r="6" spans="1:5" ht="12.75">
      <c r="A6" s="24">
        <v>15300</v>
      </c>
      <c r="B6" s="23" t="s">
        <v>130</v>
      </c>
      <c r="D6" s="23" t="s">
        <v>195</v>
      </c>
      <c r="E6" s="24">
        <v>28100</v>
      </c>
    </row>
    <row r="7" spans="1:5" ht="12.75">
      <c r="A7" s="24">
        <v>15450</v>
      </c>
      <c r="B7" s="23" t="s">
        <v>132</v>
      </c>
      <c r="D7" s="23" t="s">
        <v>125</v>
      </c>
      <c r="E7" s="24">
        <v>14100</v>
      </c>
    </row>
    <row r="8" spans="1:5" ht="12.75">
      <c r="A8" s="24">
        <v>15500</v>
      </c>
      <c r="B8" s="23" t="s">
        <v>157</v>
      </c>
      <c r="D8" s="23" t="s">
        <v>311</v>
      </c>
      <c r="E8" s="24">
        <v>45410</v>
      </c>
    </row>
    <row r="9" spans="1:5" ht="12.75">
      <c r="A9" s="24">
        <v>15550</v>
      </c>
      <c r="B9" s="23" t="s">
        <v>168</v>
      </c>
      <c r="D9" s="23" t="s">
        <v>184</v>
      </c>
      <c r="E9" s="24">
        <v>21800</v>
      </c>
    </row>
    <row r="10" spans="1:5" ht="12.75">
      <c r="A10" s="24">
        <v>15600</v>
      </c>
      <c r="B10" s="23" t="s">
        <v>315</v>
      </c>
      <c r="D10" s="23" t="s">
        <v>286</v>
      </c>
      <c r="E10" s="24">
        <v>76300</v>
      </c>
    </row>
    <row r="11" spans="1:5" ht="12.75">
      <c r="A11" s="24">
        <v>15650</v>
      </c>
      <c r="B11" s="23" t="s">
        <v>169</v>
      </c>
      <c r="D11" s="23" t="s">
        <v>220</v>
      </c>
      <c r="E11" s="24">
        <v>37000</v>
      </c>
    </row>
    <row r="12" spans="1:5" ht="12.75">
      <c r="A12" s="24">
        <v>15950</v>
      </c>
      <c r="B12" s="23" t="s">
        <v>176</v>
      </c>
      <c r="D12" s="23" t="s">
        <v>258</v>
      </c>
      <c r="E12" s="24">
        <v>55400</v>
      </c>
    </row>
    <row r="13" spans="1:5" ht="12.75">
      <c r="A13" s="24">
        <v>21500</v>
      </c>
      <c r="B13" s="23" t="s">
        <v>178</v>
      </c>
      <c r="D13" s="23" t="s">
        <v>188</v>
      </c>
      <c r="E13" s="24">
        <v>22000</v>
      </c>
    </row>
    <row r="14" spans="1:5" ht="12.75">
      <c r="A14" s="24">
        <v>21800</v>
      </c>
      <c r="B14" s="23" t="s">
        <v>184</v>
      </c>
      <c r="D14" s="23" t="s">
        <v>280</v>
      </c>
      <c r="E14" s="24">
        <v>75000</v>
      </c>
    </row>
    <row r="15" spans="1:5" ht="12.75">
      <c r="A15" s="24">
        <v>22000</v>
      </c>
      <c r="B15" s="23" t="s">
        <v>188</v>
      </c>
      <c r="D15" s="23" t="s">
        <v>112</v>
      </c>
      <c r="E15" s="24">
        <v>14000</v>
      </c>
    </row>
    <row r="16" spans="1:5" ht="12.75">
      <c r="A16" s="24">
        <v>22100</v>
      </c>
      <c r="B16" s="23" t="s">
        <v>415</v>
      </c>
      <c r="D16" s="23" t="s">
        <v>224</v>
      </c>
      <c r="E16" s="24">
        <v>39200</v>
      </c>
    </row>
    <row r="17" spans="1:5" ht="12.75">
      <c r="A17" s="24">
        <v>24000</v>
      </c>
      <c r="B17" s="23" t="s">
        <v>189</v>
      </c>
      <c r="D17" s="23" t="s">
        <v>217</v>
      </c>
      <c r="E17" s="24">
        <v>36000</v>
      </c>
    </row>
    <row r="18" spans="1:5" ht="12.75">
      <c r="A18" s="24">
        <v>24500</v>
      </c>
      <c r="B18" s="23" t="s">
        <v>191</v>
      </c>
      <c r="D18" s="23" t="s">
        <v>156</v>
      </c>
      <c r="E18" s="24">
        <v>13000</v>
      </c>
    </row>
    <row r="19" spans="1:5" ht="12.75">
      <c r="A19" s="24">
        <v>26000</v>
      </c>
      <c r="B19" s="23" t="s">
        <v>192</v>
      </c>
      <c r="D19" s="23" t="s">
        <v>279</v>
      </c>
      <c r="E19" s="24">
        <v>71400</v>
      </c>
    </row>
    <row r="20" spans="1:5" ht="12.75">
      <c r="A20" s="24">
        <v>27000</v>
      </c>
      <c r="B20" s="23" t="s">
        <v>193</v>
      </c>
      <c r="D20" s="23" t="s">
        <v>169</v>
      </c>
      <c r="E20" s="24">
        <v>15650</v>
      </c>
    </row>
    <row r="21" spans="1:5" ht="12.75">
      <c r="A21" s="24">
        <v>28000</v>
      </c>
      <c r="B21" s="23" t="s">
        <v>194</v>
      </c>
      <c r="D21" s="23" t="s">
        <v>176</v>
      </c>
      <c r="E21" s="24">
        <v>15950</v>
      </c>
    </row>
    <row r="22" spans="1:5" ht="12.75">
      <c r="A22" s="24">
        <v>28100</v>
      </c>
      <c r="B22" s="23" t="s">
        <v>195</v>
      </c>
      <c r="D22" s="23" t="s">
        <v>139</v>
      </c>
      <c r="E22" s="24">
        <v>10000</v>
      </c>
    </row>
    <row r="23" spans="1:5" ht="12.75">
      <c r="A23" s="24">
        <v>28110</v>
      </c>
      <c r="B23" s="23" t="s">
        <v>612</v>
      </c>
      <c r="D23" s="23" t="s">
        <v>193</v>
      </c>
      <c r="E23" s="24">
        <v>27000</v>
      </c>
    </row>
    <row r="24" spans="1:5" ht="12.75">
      <c r="A24" s="24">
        <v>33000</v>
      </c>
      <c r="B24" s="23" t="s">
        <v>196</v>
      </c>
      <c r="D24" s="23" t="s">
        <v>245</v>
      </c>
      <c r="E24" s="24">
        <v>51000</v>
      </c>
    </row>
    <row r="25" spans="1:5" ht="12.75">
      <c r="A25" s="24">
        <v>33260</v>
      </c>
      <c r="B25" s="23" t="s">
        <v>207</v>
      </c>
      <c r="D25" s="23" t="s">
        <v>228</v>
      </c>
      <c r="E25" s="24">
        <v>42000</v>
      </c>
    </row>
    <row r="26" spans="1:5" ht="12.75">
      <c r="A26" s="24">
        <v>34200</v>
      </c>
      <c r="B26" s="23" t="s">
        <v>309</v>
      </c>
      <c r="D26" s="23" t="s">
        <v>274</v>
      </c>
      <c r="E26" s="24">
        <v>61900</v>
      </c>
    </row>
    <row r="27" spans="1:5" ht="12.75">
      <c r="A27" s="24">
        <v>36000</v>
      </c>
      <c r="B27" s="23" t="s">
        <v>217</v>
      </c>
      <c r="D27" s="23" t="s">
        <v>315</v>
      </c>
      <c r="E27" s="24">
        <v>15600</v>
      </c>
    </row>
    <row r="28" spans="1:5" ht="12.75">
      <c r="A28" s="24">
        <v>37000</v>
      </c>
      <c r="B28" s="23" t="s">
        <v>220</v>
      </c>
      <c r="D28" s="23" t="s">
        <v>207</v>
      </c>
      <c r="E28" s="24">
        <v>33260</v>
      </c>
    </row>
    <row r="29" spans="1:5" ht="12.75">
      <c r="A29" s="24">
        <v>39100</v>
      </c>
      <c r="B29" s="23" t="s">
        <v>223</v>
      </c>
      <c r="D29" s="23" t="s">
        <v>192</v>
      </c>
      <c r="E29" s="24">
        <v>26000</v>
      </c>
    </row>
    <row r="30" spans="1:5" ht="12.75">
      <c r="A30" s="24">
        <v>39200</v>
      </c>
      <c r="B30" s="23" t="s">
        <v>224</v>
      </c>
      <c r="D30" s="23" t="s">
        <v>130</v>
      </c>
      <c r="E30" s="24">
        <v>15300</v>
      </c>
    </row>
    <row r="31" spans="1:5" ht="12.75">
      <c r="A31" s="24">
        <v>41000</v>
      </c>
      <c r="B31" s="23" t="s">
        <v>225</v>
      </c>
      <c r="D31" s="23" t="s">
        <v>275</v>
      </c>
      <c r="E31" s="24">
        <v>65100</v>
      </c>
    </row>
    <row r="32" spans="1:5" ht="12.75">
      <c r="A32" s="24">
        <v>42000</v>
      </c>
      <c r="B32" s="23" t="s">
        <v>228</v>
      </c>
      <c r="D32" s="23" t="s">
        <v>457</v>
      </c>
      <c r="E32" s="24">
        <v>76400</v>
      </c>
    </row>
    <row r="33" spans="1:5" ht="12.75">
      <c r="A33" s="24">
        <v>44100</v>
      </c>
      <c r="B33" s="23" t="s">
        <v>310</v>
      </c>
      <c r="D33" s="23" t="s">
        <v>189</v>
      </c>
      <c r="E33" s="24">
        <v>24000</v>
      </c>
    </row>
    <row r="34" spans="1:7" ht="12.75">
      <c r="A34" s="24">
        <v>45410</v>
      </c>
      <c r="B34" s="23" t="s">
        <v>311</v>
      </c>
      <c r="D34" s="23" t="s">
        <v>312</v>
      </c>
      <c r="E34" s="24">
        <v>49000</v>
      </c>
      <c r="G34" s="6"/>
    </row>
    <row r="35" spans="1:5" ht="12.75">
      <c r="A35" s="24">
        <v>49000</v>
      </c>
      <c r="B35" s="23" t="s">
        <v>312</v>
      </c>
      <c r="D35" s="23" t="s">
        <v>453</v>
      </c>
      <c r="E35" s="24">
        <v>51000</v>
      </c>
    </row>
    <row r="36" spans="1:8" ht="12.75">
      <c r="A36" s="24">
        <v>51000</v>
      </c>
      <c r="B36" s="23" t="s">
        <v>245</v>
      </c>
      <c r="D36" s="23" t="s">
        <v>612</v>
      </c>
      <c r="E36" s="24">
        <v>28110</v>
      </c>
      <c r="G36" s="6"/>
      <c r="H36" s="30"/>
    </row>
    <row r="37" spans="1:8" ht="12.75">
      <c r="A37" s="24">
        <v>51000</v>
      </c>
      <c r="B37" s="23" t="s">
        <v>453</v>
      </c>
      <c r="D37" s="23" t="s">
        <v>191</v>
      </c>
      <c r="E37" s="24">
        <v>24500</v>
      </c>
      <c r="H37" s="6"/>
    </row>
    <row r="38" spans="1:5" ht="12.75">
      <c r="A38" s="24">
        <v>54000</v>
      </c>
      <c r="B38" s="23" t="s">
        <v>251</v>
      </c>
      <c r="D38" s="23" t="s">
        <v>194</v>
      </c>
      <c r="E38" s="24">
        <v>28000</v>
      </c>
    </row>
    <row r="39" spans="1:5" ht="12.75">
      <c r="A39" s="24">
        <v>55200</v>
      </c>
      <c r="B39" s="23" t="s">
        <v>253</v>
      </c>
      <c r="D39" s="23" t="s">
        <v>225</v>
      </c>
      <c r="E39" s="24">
        <v>41000</v>
      </c>
    </row>
    <row r="40" spans="1:5" ht="12.75">
      <c r="A40" s="24">
        <v>55400</v>
      </c>
      <c r="B40" s="23" t="s">
        <v>258</v>
      </c>
      <c r="D40" s="23" t="s">
        <v>260</v>
      </c>
      <c r="E40" s="24">
        <v>61000</v>
      </c>
    </row>
    <row r="41" spans="1:5" ht="12.75">
      <c r="A41" s="24">
        <v>61000</v>
      </c>
      <c r="B41" s="23" t="s">
        <v>260</v>
      </c>
      <c r="D41" s="23" t="s">
        <v>168</v>
      </c>
      <c r="E41" s="24">
        <v>15550</v>
      </c>
    </row>
    <row r="42" spans="1:5" ht="12.75">
      <c r="A42" s="24">
        <v>61900</v>
      </c>
      <c r="B42" s="23" t="s">
        <v>274</v>
      </c>
      <c r="D42" s="23" t="s">
        <v>253</v>
      </c>
      <c r="E42" s="24">
        <v>55200</v>
      </c>
    </row>
    <row r="43" spans="1:5" ht="12.75">
      <c r="A43" s="24">
        <v>65100</v>
      </c>
      <c r="B43" s="23" t="s">
        <v>275</v>
      </c>
      <c r="D43" s="23" t="s">
        <v>196</v>
      </c>
      <c r="E43" s="24">
        <v>33000</v>
      </c>
    </row>
    <row r="44" spans="1:5" ht="12.75">
      <c r="A44" s="24">
        <v>71300</v>
      </c>
      <c r="B44" s="23" t="s">
        <v>277</v>
      </c>
      <c r="D44" s="23" t="s">
        <v>178</v>
      </c>
      <c r="E44" s="24">
        <v>21500</v>
      </c>
    </row>
    <row r="45" spans="1:5" ht="12.75">
      <c r="A45" s="24">
        <v>71400</v>
      </c>
      <c r="B45" s="23" t="s">
        <v>279</v>
      </c>
      <c r="D45" s="23" t="s">
        <v>157</v>
      </c>
      <c r="E45" s="24">
        <v>15500</v>
      </c>
    </row>
    <row r="46" spans="1:5" ht="12.75">
      <c r="A46" s="24">
        <v>75000</v>
      </c>
      <c r="B46" s="23" t="s">
        <v>280</v>
      </c>
      <c r="D46" s="23" t="s">
        <v>132</v>
      </c>
      <c r="E46" s="24">
        <v>15450</v>
      </c>
    </row>
    <row r="47" spans="1:5" ht="12.75">
      <c r="A47" s="24">
        <v>75630</v>
      </c>
      <c r="B47" s="23" t="s">
        <v>284</v>
      </c>
      <c r="D47" s="23" t="s">
        <v>415</v>
      </c>
      <c r="E47" s="24">
        <v>22100</v>
      </c>
    </row>
    <row r="48" spans="1:5" ht="12.75">
      <c r="A48" s="24">
        <v>76300</v>
      </c>
      <c r="B48" s="23" t="s">
        <v>286</v>
      </c>
      <c r="D48" s="23" t="s">
        <v>310</v>
      </c>
      <c r="E48" s="24">
        <v>44100</v>
      </c>
    </row>
    <row r="49" spans="1:5" ht="12.75">
      <c r="A49" s="24">
        <v>76400</v>
      </c>
      <c r="B49" s="23" t="s">
        <v>457</v>
      </c>
      <c r="D49" s="23" t="s">
        <v>251</v>
      </c>
      <c r="E49" s="24">
        <v>54000</v>
      </c>
    </row>
    <row r="50" spans="4:5" ht="12.75">
      <c r="D50" s="20"/>
      <c r="E50" s="20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102"/>
  <sheetViews>
    <sheetView tabSelected="1" zoomScale="75" zoomScaleNormal="75" workbookViewId="0" topLeftCell="A3">
      <pane ySplit="960" topLeftCell="BM1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7109375" style="0" hidden="1" customWidth="1"/>
    <col min="5" max="6" width="9.140625" style="0" hidden="1" customWidth="1"/>
    <col min="7" max="7" width="0.42578125" style="0" hidden="1" customWidth="1"/>
    <col min="8" max="9" width="9.140625" style="0" hidden="1" customWidth="1"/>
    <col min="10" max="10" width="8.7109375" style="0" hidden="1" customWidth="1"/>
    <col min="16" max="18" width="11.7109375" style="0" customWidth="1"/>
    <col min="19" max="19" width="12.140625" style="0" bestFit="1" customWidth="1"/>
    <col min="20" max="20" width="10.28125" style="0" bestFit="1" customWidth="1"/>
    <col min="21" max="21" width="11.7109375" style="0" customWidth="1"/>
  </cols>
  <sheetData>
    <row r="1" spans="1:14" ht="12.75">
      <c r="A1" t="s">
        <v>81</v>
      </c>
      <c r="N1" s="6"/>
    </row>
    <row r="2" spans="1:15" ht="12.75">
      <c r="A2" t="s">
        <v>82</v>
      </c>
      <c r="N2" s="136"/>
      <c r="O2" s="136"/>
    </row>
    <row r="3" spans="1:20" ht="12.75">
      <c r="A3" s="6" t="s">
        <v>403</v>
      </c>
      <c r="N3" s="53">
        <v>6</v>
      </c>
      <c r="T3" s="1" t="s">
        <v>399</v>
      </c>
    </row>
    <row r="4" spans="2:20" ht="12.75">
      <c r="B4" s="14"/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 t="s">
        <v>85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431</v>
      </c>
      <c r="P5" s="1" t="s">
        <v>84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6" ht="12.75">
      <c r="A7" s="20" t="s">
        <v>604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198707.62</v>
      </c>
      <c r="M7" s="2">
        <v>203111</v>
      </c>
      <c r="N7" s="2">
        <v>99887</v>
      </c>
      <c r="O7" s="2">
        <f>+N7/$N$3*12</f>
        <v>199774</v>
      </c>
      <c r="P7" s="2">
        <v>209673.16</v>
      </c>
      <c r="Q7" s="19">
        <v>217853.34</v>
      </c>
      <c r="R7" s="19">
        <v>217853.34</v>
      </c>
      <c r="S7" s="19">
        <v>217853.34</v>
      </c>
      <c r="T7" s="75">
        <f>(S7-P7)/P7</f>
        <v>0.03901395867740055</v>
      </c>
      <c r="U7" s="30"/>
      <c r="X7" s="152"/>
      <c r="Y7" s="136"/>
      <c r="Z7" s="152"/>
    </row>
    <row r="8" spans="1:26" ht="12.75">
      <c r="A8" s="20" t="s">
        <v>66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10000</v>
      </c>
      <c r="R8" s="2">
        <v>10000</v>
      </c>
      <c r="S8" s="2">
        <v>10000</v>
      </c>
      <c r="T8" s="75"/>
      <c r="U8" s="30" t="s">
        <v>463</v>
      </c>
      <c r="X8" s="152"/>
      <c r="Y8" s="136"/>
      <c r="Z8" s="152"/>
    </row>
    <row r="9" spans="1:21" ht="12.75">
      <c r="A9" t="s">
        <v>404</v>
      </c>
      <c r="B9" s="4">
        <v>51.12</v>
      </c>
      <c r="C9" s="2"/>
      <c r="D9" s="2"/>
      <c r="E9" s="2"/>
      <c r="F9" s="2"/>
      <c r="G9" s="2"/>
      <c r="H9" s="2">
        <v>4136</v>
      </c>
      <c r="I9" s="2">
        <v>27700</v>
      </c>
      <c r="J9" s="2">
        <v>3577</v>
      </c>
      <c r="K9" s="2">
        <v>9957</v>
      </c>
      <c r="L9" s="2">
        <v>28454</v>
      </c>
      <c r="M9" s="2">
        <v>19608</v>
      </c>
      <c r="N9" s="2">
        <v>4701</v>
      </c>
      <c r="O9" s="2">
        <v>12500</v>
      </c>
      <c r="P9" s="19">
        <v>12500</v>
      </c>
      <c r="Q9" s="2">
        <v>20000</v>
      </c>
      <c r="R9" s="2"/>
      <c r="S9" s="2"/>
      <c r="T9" s="75"/>
      <c r="U9" s="30" t="s">
        <v>464</v>
      </c>
    </row>
    <row r="10" spans="1:21" ht="12.75">
      <c r="A10" t="s">
        <v>449</v>
      </c>
      <c r="B10" s="4">
        <v>51.1205</v>
      </c>
      <c r="C10" s="2"/>
      <c r="D10" s="2"/>
      <c r="E10" s="2"/>
      <c r="F10" s="2"/>
      <c r="G10" s="2"/>
      <c r="H10" s="2">
        <v>5250</v>
      </c>
      <c r="I10" s="2">
        <v>10675</v>
      </c>
      <c r="J10" s="2">
        <v>12550</v>
      </c>
      <c r="K10" s="2">
        <v>7675</v>
      </c>
      <c r="L10" s="2">
        <v>5275</v>
      </c>
      <c r="M10" s="2">
        <v>7050</v>
      </c>
      <c r="N10" s="2">
        <v>5575</v>
      </c>
      <c r="O10" s="2">
        <f>+N10/$N$3*12</f>
        <v>11150</v>
      </c>
      <c r="P10" s="2">
        <v>10000</v>
      </c>
      <c r="Q10" s="2">
        <v>10000</v>
      </c>
      <c r="R10" s="2">
        <v>10000</v>
      </c>
      <c r="S10" s="2">
        <v>10000</v>
      </c>
      <c r="T10" s="75"/>
      <c r="U10" s="30"/>
    </row>
    <row r="11" spans="1:21" ht="12.75">
      <c r="A11" t="s">
        <v>126</v>
      </c>
      <c r="B11" s="4">
        <v>51.13</v>
      </c>
      <c r="C11" s="2"/>
      <c r="D11" s="2"/>
      <c r="E11" s="2"/>
      <c r="F11" s="2"/>
      <c r="G11" s="2"/>
      <c r="H11" s="2"/>
      <c r="I11" s="2"/>
      <c r="J11" s="2">
        <v>1909</v>
      </c>
      <c r="K11" s="2"/>
      <c r="L11" s="2">
        <v>22</v>
      </c>
      <c r="M11" s="2"/>
      <c r="N11" s="2"/>
      <c r="O11" s="2"/>
      <c r="P11" s="2"/>
      <c r="Q11" s="2"/>
      <c r="R11" s="2"/>
      <c r="S11" s="2"/>
      <c r="T11" s="75"/>
      <c r="U11" s="30"/>
    </row>
    <row r="12" spans="1:22" ht="12.75">
      <c r="A12" t="s">
        <v>448</v>
      </c>
      <c r="B12" s="4">
        <v>51.21</v>
      </c>
      <c r="C12" s="2">
        <v>5657</v>
      </c>
      <c r="D12" s="2">
        <v>9443</v>
      </c>
      <c r="E12" s="2">
        <v>12746</v>
      </c>
      <c r="F12" s="2">
        <v>10123</v>
      </c>
      <c r="G12" s="2">
        <v>12051</v>
      </c>
      <c r="H12" s="2">
        <v>10024</v>
      </c>
      <c r="I12" s="2">
        <v>9979</v>
      </c>
      <c r="J12" s="2">
        <v>12751</v>
      </c>
      <c r="K12" s="2">
        <v>16749</v>
      </c>
      <c r="L12" s="2">
        <v>22302</v>
      </c>
      <c r="M12" s="2">
        <v>27453</v>
      </c>
      <c r="N12" s="2">
        <v>14977</v>
      </c>
      <c r="O12" s="2">
        <f>+N12/$N$3*12</f>
        <v>29954</v>
      </c>
      <c r="P12" s="28">
        <v>34440</v>
      </c>
      <c r="Q12" s="28">
        <f>8*4820</f>
        <v>38560</v>
      </c>
      <c r="R12" s="28">
        <f>7*4960</f>
        <v>34720</v>
      </c>
      <c r="S12" s="28">
        <v>34720</v>
      </c>
      <c r="T12" s="75">
        <f>(S12-P12)/P12</f>
        <v>0.008130081300813009</v>
      </c>
      <c r="U12" s="30" t="s">
        <v>463</v>
      </c>
      <c r="V12" s="2"/>
    </row>
    <row r="13" spans="1:21" ht="12.75">
      <c r="A13" t="s">
        <v>113</v>
      </c>
      <c r="B13" s="4">
        <v>51.22</v>
      </c>
      <c r="C13" s="2">
        <v>6943</v>
      </c>
      <c r="D13" s="2">
        <v>9290</v>
      </c>
      <c r="E13" s="2">
        <v>8266</v>
      </c>
      <c r="F13" s="2">
        <v>10901</v>
      </c>
      <c r="G13" s="2">
        <v>11572</v>
      </c>
      <c r="H13" s="2">
        <v>8408</v>
      </c>
      <c r="I13" s="2">
        <v>11364</v>
      </c>
      <c r="J13" s="2">
        <v>11290</v>
      </c>
      <c r="K13" s="2">
        <v>12852</v>
      </c>
      <c r="L13" s="2">
        <v>17501.83</v>
      </c>
      <c r="M13" s="2">
        <v>17023</v>
      </c>
      <c r="N13" s="2">
        <v>8189</v>
      </c>
      <c r="O13" s="2">
        <f>(O7+O9+O10+O11)*0.0765</f>
        <v>17091.935999999998</v>
      </c>
      <c r="P13" s="2">
        <v>17761</v>
      </c>
      <c r="Q13" s="2">
        <f>(Q7+Q9+Q10+Q8+Q11)*0.0765</f>
        <v>19725.78051</v>
      </c>
      <c r="R13" s="2">
        <f>(R7+R9+R10+R8+R11)*0.0765</f>
        <v>18195.78051</v>
      </c>
      <c r="S13" s="2">
        <f>(S7+S9+S10+S8+S11)*0.0765</f>
        <v>18195.78051</v>
      </c>
      <c r="T13" s="75">
        <f>(S13-P13)/P13</f>
        <v>0.024479506221496566</v>
      </c>
      <c r="U13" s="30" t="s">
        <v>463</v>
      </c>
    </row>
    <row r="14" spans="1:21" ht="12.75">
      <c r="A14" t="s">
        <v>127</v>
      </c>
      <c r="B14" s="4">
        <v>51.24</v>
      </c>
      <c r="C14" s="2">
        <v>1439</v>
      </c>
      <c r="D14" s="2">
        <v>1639</v>
      </c>
      <c r="E14" s="2">
        <v>1781</v>
      </c>
      <c r="F14" s="2">
        <v>1267</v>
      </c>
      <c r="G14" s="2">
        <v>1629</v>
      </c>
      <c r="H14" s="2">
        <v>1778</v>
      </c>
      <c r="I14" s="2">
        <v>1382</v>
      </c>
      <c r="J14" s="2">
        <v>301</v>
      </c>
      <c r="K14" s="2">
        <v>785</v>
      </c>
      <c r="L14" s="2">
        <v>999</v>
      </c>
      <c r="M14" s="2">
        <v>392</v>
      </c>
      <c r="N14" s="2">
        <v>643</v>
      </c>
      <c r="O14" s="2">
        <v>2500</v>
      </c>
      <c r="P14" s="19">
        <v>2500</v>
      </c>
      <c r="Q14" s="2">
        <v>3000</v>
      </c>
      <c r="R14" s="19">
        <v>3000</v>
      </c>
      <c r="S14" s="19">
        <v>3000</v>
      </c>
      <c r="T14" s="75">
        <f>(S14-P14)/P14</f>
        <v>0.2</v>
      </c>
      <c r="U14" s="30"/>
    </row>
    <row r="15" spans="1:22" ht="12.75">
      <c r="A15" t="s">
        <v>653</v>
      </c>
      <c r="B15" s="4">
        <v>51.26</v>
      </c>
      <c r="C15" s="2"/>
      <c r="D15" s="2"/>
      <c r="E15" s="2"/>
      <c r="F15" s="2"/>
      <c r="G15" s="2"/>
      <c r="H15" s="2"/>
      <c r="I15" s="2"/>
      <c r="J15" s="2"/>
      <c r="K15" s="2">
        <v>1477</v>
      </c>
      <c r="L15" s="2"/>
      <c r="M15" s="2">
        <v>1476</v>
      </c>
      <c r="N15" s="2">
        <v>820</v>
      </c>
      <c r="O15" s="2">
        <f>+N15/$N$3*12</f>
        <v>1640</v>
      </c>
      <c r="P15" s="19">
        <v>820</v>
      </c>
      <c r="Q15" s="2"/>
      <c r="R15" s="19"/>
      <c r="S15" s="19"/>
      <c r="T15" s="75"/>
      <c r="V15" s="2"/>
    </row>
    <row r="16" spans="2:22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  <c r="V16" s="2"/>
    </row>
    <row r="17" spans="1:20" ht="12.75" hidden="1">
      <c r="A17" t="s">
        <v>131</v>
      </c>
      <c r="B17" s="4">
        <v>52.12</v>
      </c>
      <c r="C17" s="2">
        <v>14964</v>
      </c>
      <c r="D17" s="2">
        <v>17525</v>
      </c>
      <c r="E17" s="2"/>
      <c r="F17" s="2">
        <v>5000</v>
      </c>
      <c r="G17" s="2">
        <v>12128</v>
      </c>
      <c r="H17" s="2"/>
      <c r="I17" s="2">
        <v>2400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</row>
    <row r="18" spans="2:20" ht="12.75" hidden="1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75"/>
    </row>
    <row r="19" spans="1:20" ht="12.75">
      <c r="A19" t="s">
        <v>490</v>
      </c>
      <c r="B19" s="4">
        <v>52.121</v>
      </c>
      <c r="C19" s="2"/>
      <c r="D19" s="2"/>
      <c r="E19" s="2"/>
      <c r="F19" s="2"/>
      <c r="G19" s="2"/>
      <c r="H19" s="2">
        <v>4070</v>
      </c>
      <c r="I19" s="2">
        <f>6924+181</f>
        <v>7105</v>
      </c>
      <c r="J19" s="2">
        <v>13709</v>
      </c>
      <c r="K19" s="2">
        <v>4998</v>
      </c>
      <c r="L19" s="2">
        <v>154</v>
      </c>
      <c r="M19" s="2">
        <v>1134</v>
      </c>
      <c r="N19" s="2">
        <v>0</v>
      </c>
      <c r="O19" s="2">
        <f>+N19/$N$3*12</f>
        <v>0</v>
      </c>
      <c r="P19" s="2">
        <v>1000</v>
      </c>
      <c r="Q19" s="2">
        <v>1000</v>
      </c>
      <c r="R19" s="2">
        <v>1000</v>
      </c>
      <c r="S19" s="2">
        <v>1000</v>
      </c>
      <c r="T19" s="75"/>
    </row>
    <row r="20" spans="1:20" ht="12.75">
      <c r="A20" t="s">
        <v>516</v>
      </c>
      <c r="B20" s="4">
        <v>52.1211</v>
      </c>
      <c r="C20" s="2"/>
      <c r="D20" s="2"/>
      <c r="E20" s="2"/>
      <c r="F20" s="2"/>
      <c r="G20" s="2"/>
      <c r="H20" s="2">
        <v>23801</v>
      </c>
      <c r="I20" s="2">
        <f>16287+1520</f>
        <v>17807</v>
      </c>
      <c r="J20" s="2">
        <v>23412</v>
      </c>
      <c r="K20" s="2">
        <v>17558</v>
      </c>
      <c r="L20" s="2">
        <v>11027</v>
      </c>
      <c r="M20" s="2">
        <v>12783</v>
      </c>
      <c r="N20" s="2">
        <v>20337</v>
      </c>
      <c r="O20" s="2">
        <f>+N20/$N$3*12</f>
        <v>40674</v>
      </c>
      <c r="P20" s="2">
        <v>10000</v>
      </c>
      <c r="Q20" s="2">
        <v>35000</v>
      </c>
      <c r="R20" s="2">
        <v>35000</v>
      </c>
      <c r="S20" s="2">
        <v>35000</v>
      </c>
      <c r="T20" s="75"/>
    </row>
    <row r="21" spans="1:20" ht="12.75" hidden="1">
      <c r="A21" t="s">
        <v>158</v>
      </c>
      <c r="B21" s="4">
        <v>52.1213</v>
      </c>
      <c r="C21" s="2"/>
      <c r="D21" s="2"/>
      <c r="E21" s="2">
        <v>44955</v>
      </c>
      <c r="F21" s="2">
        <v>26399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 hidden="1">
      <c r="A22" t="s">
        <v>538</v>
      </c>
      <c r="B22" s="4">
        <v>52.1215</v>
      </c>
      <c r="C22" s="2"/>
      <c r="D22" s="2"/>
      <c r="E22" s="2"/>
      <c r="F22" s="2"/>
      <c r="G22" s="2"/>
      <c r="H22" s="2">
        <v>596</v>
      </c>
      <c r="I22" s="2"/>
      <c r="J22" s="2"/>
      <c r="K22" s="2"/>
      <c r="L22" s="2"/>
      <c r="M22" s="2"/>
      <c r="N22" s="2"/>
      <c r="O22" s="2">
        <f>+N22/$N$3*12</f>
        <v>0</v>
      </c>
      <c r="P22" s="2"/>
      <c r="Q22" s="2"/>
      <c r="R22" s="2"/>
      <c r="S22" s="2"/>
      <c r="T22" s="75"/>
    </row>
    <row r="23" spans="1:20" ht="12.75">
      <c r="A23" t="s">
        <v>706</v>
      </c>
      <c r="B23" s="4">
        <v>52.123</v>
      </c>
      <c r="C23" s="2"/>
      <c r="D23" s="2"/>
      <c r="E23" s="2"/>
      <c r="F23" s="2"/>
      <c r="G23" s="2"/>
      <c r="H23" s="2"/>
      <c r="I23" s="2"/>
      <c r="J23" s="2"/>
      <c r="K23" s="2">
        <v>4125</v>
      </c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259</v>
      </c>
      <c r="B24" s="4">
        <v>52.126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104</v>
      </c>
      <c r="O24" s="2">
        <v>104</v>
      </c>
      <c r="P24" s="2"/>
      <c r="Q24" s="2"/>
      <c r="R24" s="2"/>
      <c r="S24" s="2"/>
      <c r="T24" s="75"/>
    </row>
    <row r="25" spans="1:20" ht="12.75">
      <c r="A25" s="30" t="s">
        <v>539</v>
      </c>
      <c r="B25" s="4">
        <v>52.13</v>
      </c>
      <c r="C25" s="2"/>
      <c r="D25" s="2"/>
      <c r="E25" s="2"/>
      <c r="F25" s="2">
        <v>14307</v>
      </c>
      <c r="G25" s="2">
        <v>5000</v>
      </c>
      <c r="H25" s="2">
        <v>4500</v>
      </c>
      <c r="I25" s="2">
        <v>5000</v>
      </c>
      <c r="J25" s="2">
        <v>3230</v>
      </c>
      <c r="K25" s="2">
        <v>767</v>
      </c>
      <c r="L25" s="2">
        <v>528</v>
      </c>
      <c r="M25" s="2"/>
      <c r="N25" s="2"/>
      <c r="O25" s="2">
        <f>+N25/$N$3*12</f>
        <v>0</v>
      </c>
      <c r="P25" s="2"/>
      <c r="Q25" s="2"/>
      <c r="R25" s="2"/>
      <c r="S25" s="2"/>
      <c r="T25" s="75"/>
    </row>
    <row r="26" spans="1:20" ht="12.75">
      <c r="A26" t="s">
        <v>693</v>
      </c>
      <c r="B26" s="4">
        <v>52.1301</v>
      </c>
      <c r="C26" s="2">
        <v>16007</v>
      </c>
      <c r="D26" s="2">
        <v>15821</v>
      </c>
      <c r="E26" s="2">
        <v>17624</v>
      </c>
      <c r="F26" s="2">
        <v>15198</v>
      </c>
      <c r="G26" s="2">
        <v>15682</v>
      </c>
      <c r="H26" s="2">
        <v>10692</v>
      </c>
      <c r="I26" s="2">
        <v>15692</v>
      </c>
      <c r="J26" s="2">
        <v>3318</v>
      </c>
      <c r="K26" s="2">
        <v>1000</v>
      </c>
      <c r="L26" s="2">
        <v>1000</v>
      </c>
      <c r="M26" s="2">
        <v>1000</v>
      </c>
      <c r="N26" s="2">
        <v>0</v>
      </c>
      <c r="O26" s="2">
        <v>1000</v>
      </c>
      <c r="P26" s="2">
        <v>1000</v>
      </c>
      <c r="Q26" s="2">
        <v>1000</v>
      </c>
      <c r="R26" s="2">
        <v>1000</v>
      </c>
      <c r="S26" s="2">
        <v>1000</v>
      </c>
      <c r="T26" s="75">
        <f>(S26-P26)/P26</f>
        <v>0</v>
      </c>
    </row>
    <row r="27" spans="1:20" ht="12.75">
      <c r="A27" t="s">
        <v>540</v>
      </c>
      <c r="B27" s="4">
        <v>52.1316</v>
      </c>
      <c r="C27" s="2"/>
      <c r="D27" s="2"/>
      <c r="E27" s="2">
        <v>638</v>
      </c>
      <c r="F27" s="2">
        <v>884</v>
      </c>
      <c r="G27" s="2"/>
      <c r="H27" s="2">
        <v>800</v>
      </c>
      <c r="I27" s="2">
        <f>1308+96</f>
        <v>1404</v>
      </c>
      <c r="J27" s="2">
        <v>620</v>
      </c>
      <c r="K27" s="2"/>
      <c r="L27" s="2">
        <v>938</v>
      </c>
      <c r="M27" s="2"/>
      <c r="N27" s="2">
        <v>0</v>
      </c>
      <c r="O27" s="2"/>
      <c r="P27" s="2"/>
      <c r="Q27" s="2"/>
      <c r="R27" s="2"/>
      <c r="S27" s="2"/>
      <c r="T27" s="75"/>
    </row>
    <row r="28" spans="1:20" ht="12.75" hidden="1">
      <c r="A28" t="s">
        <v>159</v>
      </c>
      <c r="B28" s="4">
        <v>52.2206</v>
      </c>
      <c r="C28" s="2">
        <v>195</v>
      </c>
      <c r="D28" s="2">
        <v>1195</v>
      </c>
      <c r="E28" s="2">
        <v>493</v>
      </c>
      <c r="F28" s="2">
        <v>209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5"/>
    </row>
    <row r="29" spans="1:20" ht="12.75">
      <c r="A29" t="s">
        <v>729</v>
      </c>
      <c r="B29" s="4">
        <v>52.1319</v>
      </c>
      <c r="C29" s="2"/>
      <c r="D29" s="2"/>
      <c r="E29" s="2"/>
      <c r="F29" s="2"/>
      <c r="G29" s="2"/>
      <c r="H29" s="2"/>
      <c r="I29" s="2"/>
      <c r="J29" s="2"/>
      <c r="K29" s="2">
        <v>375</v>
      </c>
      <c r="L29" s="2">
        <v>4500</v>
      </c>
      <c r="M29" s="2">
        <v>4500</v>
      </c>
      <c r="N29" s="2">
        <v>4500</v>
      </c>
      <c r="O29" s="2">
        <v>6000</v>
      </c>
      <c r="P29" s="2">
        <v>6000</v>
      </c>
      <c r="Q29" s="2">
        <v>7250</v>
      </c>
      <c r="R29" s="2">
        <v>7250</v>
      </c>
      <c r="S29" s="2">
        <v>7250</v>
      </c>
      <c r="T29" s="75"/>
    </row>
    <row r="30" spans="1:21" s="20" customFormat="1" ht="12.75">
      <c r="A30" s="20" t="s">
        <v>736</v>
      </c>
      <c r="B30" s="45">
        <v>52.1326</v>
      </c>
      <c r="C30" s="28"/>
      <c r="D30" s="28"/>
      <c r="E30" s="28"/>
      <c r="F30" s="28"/>
      <c r="G30" s="28"/>
      <c r="H30" s="28"/>
      <c r="I30" s="28"/>
      <c r="J30" s="28"/>
      <c r="K30" s="28">
        <v>5615</v>
      </c>
      <c r="L30" s="28">
        <v>14980</v>
      </c>
      <c r="M30" s="28">
        <v>69331</v>
      </c>
      <c r="N30" s="28">
        <v>0</v>
      </c>
      <c r="O30" s="28">
        <v>10000</v>
      </c>
      <c r="P30" s="28">
        <v>10000</v>
      </c>
      <c r="Q30" s="28">
        <v>7500</v>
      </c>
      <c r="R30" s="28">
        <v>7500</v>
      </c>
      <c r="S30" s="28">
        <v>7500</v>
      </c>
      <c r="T30" s="48"/>
      <c r="U30" s="30" t="s">
        <v>526</v>
      </c>
    </row>
    <row r="31" spans="1:21" s="20" customFormat="1" ht="12.75">
      <c r="A31" s="20" t="s">
        <v>867</v>
      </c>
      <c r="B31" s="45">
        <v>52.1203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>
        <v>20000</v>
      </c>
      <c r="O31" s="28">
        <v>20000</v>
      </c>
      <c r="P31" s="28">
        <v>20000</v>
      </c>
      <c r="Q31" s="28"/>
      <c r="R31" s="28"/>
      <c r="S31" s="28"/>
      <c r="T31" s="48"/>
      <c r="U31" s="6"/>
    </row>
    <row r="32" spans="1:21" s="20" customFormat="1" ht="12.75">
      <c r="A32" s="20" t="s">
        <v>883</v>
      </c>
      <c r="B32" s="45">
        <v>52.1329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>
        <v>19334</v>
      </c>
      <c r="N32" s="28"/>
      <c r="O32" s="28"/>
      <c r="P32" s="28"/>
      <c r="Q32" s="28"/>
      <c r="R32" s="28"/>
      <c r="S32" s="28"/>
      <c r="T32" s="48"/>
      <c r="U32" s="6"/>
    </row>
    <row r="33" spans="1:20" ht="12.75">
      <c r="A33" t="s">
        <v>707</v>
      </c>
      <c r="B33" s="4">
        <v>52.2204</v>
      </c>
      <c r="C33" s="2"/>
      <c r="D33" s="2"/>
      <c r="E33" s="2"/>
      <c r="F33" s="2"/>
      <c r="G33" s="2"/>
      <c r="H33" s="2"/>
      <c r="I33" s="2"/>
      <c r="J33" s="2"/>
      <c r="K33" s="2">
        <f>713+244</f>
        <v>957</v>
      </c>
      <c r="L33" s="2">
        <v>75</v>
      </c>
      <c r="M33" s="2">
        <v>861</v>
      </c>
      <c r="N33" s="2">
        <v>600</v>
      </c>
      <c r="O33" s="2">
        <v>800</v>
      </c>
      <c r="P33" s="2">
        <v>800</v>
      </c>
      <c r="Q33" s="2">
        <v>800</v>
      </c>
      <c r="R33" s="2">
        <v>800</v>
      </c>
      <c r="S33" s="2">
        <v>800</v>
      </c>
      <c r="T33" s="75"/>
    </row>
    <row r="34" spans="1:20" ht="12.75">
      <c r="A34" t="s">
        <v>70</v>
      </c>
      <c r="B34" s="4">
        <v>52.2314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10800</v>
      </c>
      <c r="N34" s="2">
        <v>5400</v>
      </c>
      <c r="O34" s="2">
        <v>6300</v>
      </c>
      <c r="P34" s="2">
        <v>6300</v>
      </c>
      <c r="Q34" s="2"/>
      <c r="R34" s="2"/>
      <c r="S34" s="2"/>
      <c r="T34" s="75"/>
    </row>
    <row r="35" spans="1:20" ht="12.75">
      <c r="A35" t="s">
        <v>115</v>
      </c>
      <c r="B35" s="4">
        <v>52.32</v>
      </c>
      <c r="C35" s="2">
        <v>1825</v>
      </c>
      <c r="D35" s="2">
        <v>2502</v>
      </c>
      <c r="E35" s="2">
        <v>2472</v>
      </c>
      <c r="F35" s="2">
        <v>2873</v>
      </c>
      <c r="G35" s="2">
        <v>2966</v>
      </c>
      <c r="H35" s="2">
        <v>3968</v>
      </c>
      <c r="I35" s="2">
        <v>4162</v>
      </c>
      <c r="J35" s="2">
        <v>4133</v>
      </c>
      <c r="K35" s="2">
        <v>4356</v>
      </c>
      <c r="L35" s="2">
        <v>5266</v>
      </c>
      <c r="M35" s="2">
        <v>4933</v>
      </c>
      <c r="N35" s="2">
        <v>2596</v>
      </c>
      <c r="O35" s="2">
        <f>+N35/$N$3*12</f>
        <v>5192</v>
      </c>
      <c r="P35" s="2">
        <v>4320</v>
      </c>
      <c r="Q35" s="2">
        <v>4320</v>
      </c>
      <c r="R35" s="2">
        <v>4320</v>
      </c>
      <c r="S35" s="2">
        <v>4320</v>
      </c>
      <c r="T35" s="75">
        <f aca="true" t="shared" si="0" ref="T35:T42">(S35-P35)/P35</f>
        <v>0</v>
      </c>
    </row>
    <row r="36" spans="1:20" ht="12.75">
      <c r="A36" t="s">
        <v>137</v>
      </c>
      <c r="B36" s="4">
        <v>52.33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450</v>
      </c>
      <c r="O36" s="2">
        <v>450</v>
      </c>
      <c r="P36" s="2"/>
      <c r="Q36" s="2">
        <v>0</v>
      </c>
      <c r="R36" s="2">
        <v>0</v>
      </c>
      <c r="S36" s="2">
        <v>0</v>
      </c>
      <c r="T36" s="75"/>
    </row>
    <row r="37" spans="1:21" ht="12.75">
      <c r="A37" t="s">
        <v>116</v>
      </c>
      <c r="B37" s="4">
        <v>52.321</v>
      </c>
      <c r="C37" s="2">
        <v>6782</v>
      </c>
      <c r="D37" s="2">
        <v>3482</v>
      </c>
      <c r="E37" s="2">
        <v>4059</v>
      </c>
      <c r="F37" s="2">
        <v>10359</v>
      </c>
      <c r="G37" s="2">
        <v>3800</v>
      </c>
      <c r="H37" s="2">
        <v>4018</v>
      </c>
      <c r="I37" s="2">
        <v>7544</v>
      </c>
      <c r="J37" s="2">
        <v>2315</v>
      </c>
      <c r="K37" s="2">
        <f>3440+772</f>
        <v>4212</v>
      </c>
      <c r="L37" s="2">
        <v>6933</v>
      </c>
      <c r="M37" s="2">
        <v>7089</v>
      </c>
      <c r="N37" s="2">
        <v>16867</v>
      </c>
      <c r="O37" s="2">
        <f aca="true" t="shared" si="1" ref="O37:O42">+N37/$N$3*12</f>
        <v>33734</v>
      </c>
      <c r="P37" s="2">
        <v>17500</v>
      </c>
      <c r="Q37" s="2">
        <v>17500</v>
      </c>
      <c r="R37" s="2">
        <v>17500</v>
      </c>
      <c r="S37" s="2">
        <v>17500</v>
      </c>
      <c r="T37" s="75">
        <f t="shared" si="0"/>
        <v>0</v>
      </c>
      <c r="U37" t="s">
        <v>531</v>
      </c>
    </row>
    <row r="38" spans="1:20" ht="12.75" hidden="1">
      <c r="A38" t="s">
        <v>137</v>
      </c>
      <c r="B38" s="4">
        <v>52.33</v>
      </c>
      <c r="C38" s="2"/>
      <c r="D38" s="2">
        <v>685</v>
      </c>
      <c r="E38" s="2">
        <v>157</v>
      </c>
      <c r="F38" s="2"/>
      <c r="G38" s="2"/>
      <c r="H38" s="2">
        <v>144</v>
      </c>
      <c r="I38" s="2"/>
      <c r="J38" s="2"/>
      <c r="K38" s="2"/>
      <c r="L38" s="2"/>
      <c r="M38" s="2"/>
      <c r="N38" s="2"/>
      <c r="O38" s="2">
        <f t="shared" si="1"/>
        <v>0</v>
      </c>
      <c r="P38" s="2"/>
      <c r="Q38" s="2"/>
      <c r="R38" s="2"/>
      <c r="S38" s="2"/>
      <c r="T38" s="75" t="e">
        <f t="shared" si="0"/>
        <v>#DIV/0!</v>
      </c>
    </row>
    <row r="39" spans="1:20" ht="12.75">
      <c r="A39" t="s">
        <v>128</v>
      </c>
      <c r="B39" s="4">
        <v>52.35</v>
      </c>
      <c r="C39" s="2">
        <v>2769</v>
      </c>
      <c r="D39" s="2">
        <v>5458</v>
      </c>
      <c r="E39" s="2">
        <v>2466</v>
      </c>
      <c r="F39" s="2">
        <v>40</v>
      </c>
      <c r="G39" s="2"/>
      <c r="H39" s="2">
        <v>841</v>
      </c>
      <c r="I39" s="2">
        <v>1939</v>
      </c>
      <c r="J39" s="2">
        <v>2994</v>
      </c>
      <c r="K39" s="2">
        <v>2545</v>
      </c>
      <c r="L39" s="2">
        <v>7079</v>
      </c>
      <c r="M39" s="2">
        <v>4381</v>
      </c>
      <c r="N39" s="2">
        <v>468</v>
      </c>
      <c r="O39" s="2">
        <f t="shared" si="1"/>
        <v>936</v>
      </c>
      <c r="P39" s="2">
        <v>3000</v>
      </c>
      <c r="Q39" s="2">
        <v>4500</v>
      </c>
      <c r="R39" s="2">
        <v>4500</v>
      </c>
      <c r="S39" s="2">
        <v>4500</v>
      </c>
      <c r="T39" s="75">
        <f t="shared" si="0"/>
        <v>0.5</v>
      </c>
    </row>
    <row r="40" spans="1:20" ht="12.75">
      <c r="A40" t="s">
        <v>160</v>
      </c>
      <c r="B40" s="4">
        <v>52.3501</v>
      </c>
      <c r="C40" s="2"/>
      <c r="D40" s="2"/>
      <c r="E40" s="2">
        <v>527</v>
      </c>
      <c r="F40" s="2">
        <v>3991</v>
      </c>
      <c r="G40" s="2">
        <v>3125</v>
      </c>
      <c r="H40" s="2">
        <v>2692</v>
      </c>
      <c r="I40" s="2">
        <v>2537</v>
      </c>
      <c r="J40" s="2"/>
      <c r="K40" s="2">
        <v>1477</v>
      </c>
      <c r="L40" s="2">
        <v>2383</v>
      </c>
      <c r="M40" s="2">
        <v>2029</v>
      </c>
      <c r="N40" s="2">
        <v>0</v>
      </c>
      <c r="O40" s="2">
        <f t="shared" si="1"/>
        <v>0</v>
      </c>
      <c r="P40" s="2">
        <v>1500</v>
      </c>
      <c r="Q40" s="2">
        <v>1920</v>
      </c>
      <c r="R40" s="2">
        <v>1920</v>
      </c>
      <c r="S40" s="2">
        <v>1920</v>
      </c>
      <c r="T40" s="75">
        <f t="shared" si="0"/>
        <v>0.28</v>
      </c>
    </row>
    <row r="41" spans="1:21" ht="12.75">
      <c r="A41" t="s">
        <v>465</v>
      </c>
      <c r="B41" s="4">
        <v>52.37</v>
      </c>
      <c r="C41" s="2"/>
      <c r="D41" s="2"/>
      <c r="E41" s="2">
        <v>451</v>
      </c>
      <c r="F41" s="2">
        <v>610</v>
      </c>
      <c r="G41" s="2"/>
      <c r="H41" s="2">
        <v>1015</v>
      </c>
      <c r="I41" s="2"/>
      <c r="J41" s="2">
        <v>570</v>
      </c>
      <c r="K41" s="2">
        <v>2535</v>
      </c>
      <c r="L41" s="2">
        <v>1790</v>
      </c>
      <c r="M41" s="2">
        <v>885</v>
      </c>
      <c r="N41" s="2">
        <v>105</v>
      </c>
      <c r="O41" s="2">
        <f t="shared" si="1"/>
        <v>210</v>
      </c>
      <c r="P41" s="19">
        <v>1200</v>
      </c>
      <c r="Q41" s="2">
        <v>1000</v>
      </c>
      <c r="R41" s="19">
        <v>1000</v>
      </c>
      <c r="S41" s="19">
        <v>1000</v>
      </c>
      <c r="T41" s="75">
        <f t="shared" si="0"/>
        <v>-0.16666666666666666</v>
      </c>
      <c r="U41" s="30"/>
    </row>
    <row r="42" spans="1:20" ht="12.75">
      <c r="A42" t="s">
        <v>161</v>
      </c>
      <c r="B42" s="4">
        <v>52.3701</v>
      </c>
      <c r="C42" s="2"/>
      <c r="D42" s="2"/>
      <c r="E42" s="2">
        <v>850</v>
      </c>
      <c r="F42" s="2">
        <v>1590</v>
      </c>
      <c r="G42" s="2">
        <v>1050</v>
      </c>
      <c r="H42" s="2">
        <v>1420</v>
      </c>
      <c r="I42" s="2"/>
      <c r="J42" s="2">
        <v>215</v>
      </c>
      <c r="K42" s="2">
        <v>920</v>
      </c>
      <c r="L42" s="2">
        <v>795</v>
      </c>
      <c r="M42" s="2">
        <v>1175</v>
      </c>
      <c r="N42" s="2">
        <v>0</v>
      </c>
      <c r="O42" s="2">
        <f t="shared" si="1"/>
        <v>0</v>
      </c>
      <c r="P42" s="2">
        <v>1450</v>
      </c>
      <c r="Q42" s="2">
        <v>1330</v>
      </c>
      <c r="R42" s="2">
        <v>1330</v>
      </c>
      <c r="S42" s="2">
        <v>1330</v>
      </c>
      <c r="T42" s="75">
        <f t="shared" si="0"/>
        <v>-0.08275862068965517</v>
      </c>
    </row>
    <row r="43" spans="1:20" ht="12.75" hidden="1">
      <c r="A43" t="s">
        <v>684</v>
      </c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75"/>
    </row>
    <row r="44" spans="1:20" ht="12.75" hidden="1">
      <c r="A44" t="s">
        <v>685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75"/>
    </row>
    <row r="45" spans="1:20" ht="12.75">
      <c r="A45" t="s">
        <v>71</v>
      </c>
      <c r="B45" s="4">
        <v>52.3704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8551</v>
      </c>
      <c r="N45" s="2">
        <v>0</v>
      </c>
      <c r="O45" s="2"/>
      <c r="P45" s="2"/>
      <c r="Q45" s="2"/>
      <c r="R45" s="2"/>
      <c r="S45" s="2"/>
      <c r="T45" s="75"/>
    </row>
    <row r="46" spans="1:21" ht="12.75">
      <c r="A46" t="s">
        <v>682</v>
      </c>
      <c r="B46" s="4">
        <v>52.1209</v>
      </c>
      <c r="C46" s="2"/>
      <c r="D46" s="2"/>
      <c r="E46" s="2"/>
      <c r="F46" s="2"/>
      <c r="G46" s="2"/>
      <c r="H46" s="2"/>
      <c r="I46" s="2"/>
      <c r="J46" s="2"/>
      <c r="K46" s="2"/>
      <c r="L46" s="2">
        <v>6000</v>
      </c>
      <c r="M46" s="2">
        <v>452565</v>
      </c>
      <c r="N46" s="2">
        <v>301710</v>
      </c>
      <c r="O46" s="2">
        <v>500000</v>
      </c>
      <c r="P46" s="2">
        <v>460000</v>
      </c>
      <c r="Q46" s="2">
        <v>27500</v>
      </c>
      <c r="R46" s="2"/>
      <c r="S46" s="2"/>
      <c r="T46" s="75"/>
      <c r="U46" t="s">
        <v>541</v>
      </c>
    </row>
    <row r="47" spans="1:21" ht="12.75">
      <c r="A47" t="s">
        <v>19</v>
      </c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235000</v>
      </c>
      <c r="R47" s="2"/>
      <c r="S47" s="2"/>
      <c r="T47" s="75"/>
      <c r="U47" s="30" t="s">
        <v>986</v>
      </c>
    </row>
    <row r="48" spans="1:20" ht="12.75">
      <c r="A48" t="s">
        <v>708</v>
      </c>
      <c r="B48" s="4">
        <v>53.14</v>
      </c>
      <c r="C48" s="2"/>
      <c r="D48" s="2"/>
      <c r="E48" s="2"/>
      <c r="F48" s="2"/>
      <c r="G48" s="2"/>
      <c r="H48" s="2"/>
      <c r="I48" s="2"/>
      <c r="J48" s="2"/>
      <c r="K48" s="2">
        <v>870</v>
      </c>
      <c r="L48" s="2">
        <f>1033+225</f>
        <v>1258</v>
      </c>
      <c r="M48" s="2">
        <v>966</v>
      </c>
      <c r="N48" s="2">
        <v>0</v>
      </c>
      <c r="O48" s="2">
        <v>1000</v>
      </c>
      <c r="P48" s="2">
        <v>1000</v>
      </c>
      <c r="Q48" s="2">
        <v>1000</v>
      </c>
      <c r="R48" s="2">
        <v>1000</v>
      </c>
      <c r="S48" s="2">
        <v>1000</v>
      </c>
      <c r="T48" s="75"/>
    </row>
    <row r="49" spans="1:20" ht="12.75">
      <c r="A49" t="s">
        <v>123</v>
      </c>
      <c r="B49" s="4">
        <v>53.171</v>
      </c>
      <c r="C49" s="2">
        <v>7150</v>
      </c>
      <c r="D49" s="2">
        <v>7650</v>
      </c>
      <c r="E49" s="2">
        <v>10750</v>
      </c>
      <c r="F49" s="2">
        <v>9807</v>
      </c>
      <c r="G49" s="2">
        <v>7981</v>
      </c>
      <c r="H49" s="2">
        <v>6359</v>
      </c>
      <c r="I49" s="2">
        <f>7985+754</f>
        <v>8739</v>
      </c>
      <c r="J49" s="2"/>
      <c r="K49" s="2">
        <f>8531+218</f>
        <v>8749</v>
      </c>
      <c r="L49" s="2">
        <v>4828</v>
      </c>
      <c r="M49" s="2">
        <v>5423</v>
      </c>
      <c r="N49" s="2">
        <v>5185</v>
      </c>
      <c r="O49" s="2">
        <f aca="true" t="shared" si="2" ref="O49:O57">+N49/$N$3*12</f>
        <v>10370</v>
      </c>
      <c r="P49" s="2">
        <v>9000</v>
      </c>
      <c r="Q49" s="2">
        <v>7000</v>
      </c>
      <c r="R49" s="2">
        <v>7000</v>
      </c>
      <c r="S49" s="2">
        <v>7000</v>
      </c>
      <c r="T49" s="75">
        <f aca="true" t="shared" si="3" ref="T49:T56">(S49-P49)/P49</f>
        <v>-0.2222222222222222</v>
      </c>
    </row>
    <row r="50" spans="1:20" ht="12.75">
      <c r="A50" t="s">
        <v>730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2">
        <v>72</v>
      </c>
      <c r="M50" s="2"/>
      <c r="N50" s="2"/>
      <c r="O50" s="2"/>
      <c r="P50" s="2"/>
      <c r="Q50" s="2">
        <v>0</v>
      </c>
      <c r="R50" s="2">
        <v>0</v>
      </c>
      <c r="S50" s="2">
        <v>0</v>
      </c>
      <c r="T50" s="75"/>
    </row>
    <row r="51" spans="1:20" ht="12.75">
      <c r="A51" t="s">
        <v>76</v>
      </c>
      <c r="B51" s="4">
        <v>53.1737</v>
      </c>
      <c r="C51" s="2"/>
      <c r="D51" s="2"/>
      <c r="E51" s="2"/>
      <c r="F51" s="2"/>
      <c r="G51" s="2"/>
      <c r="H51" s="2"/>
      <c r="I51" s="2"/>
      <c r="J51" s="2"/>
      <c r="K51" s="2"/>
      <c r="L51" s="2">
        <v>376</v>
      </c>
      <c r="M51" s="2"/>
      <c r="N51" s="2"/>
      <c r="O51" s="2"/>
      <c r="P51" s="2"/>
      <c r="Q51" s="2"/>
      <c r="R51" s="2"/>
      <c r="S51" s="2"/>
      <c r="T51" s="75"/>
    </row>
    <row r="52" spans="1:20" ht="12.75">
      <c r="A52" t="s">
        <v>162</v>
      </c>
      <c r="B52" s="4">
        <v>53.175</v>
      </c>
      <c r="C52" s="2">
        <v>1924</v>
      </c>
      <c r="D52" s="2">
        <v>173</v>
      </c>
      <c r="E52" s="2">
        <v>619</v>
      </c>
      <c r="F52" s="2">
        <v>917</v>
      </c>
      <c r="G52" s="2">
        <v>236</v>
      </c>
      <c r="H52" s="2">
        <v>123</v>
      </c>
      <c r="I52" s="2">
        <v>562</v>
      </c>
      <c r="J52" s="2">
        <v>565</v>
      </c>
      <c r="K52" s="2">
        <v>54</v>
      </c>
      <c r="L52" s="2">
        <v>330</v>
      </c>
      <c r="M52" s="2">
        <v>15</v>
      </c>
      <c r="N52" s="2">
        <v>20</v>
      </c>
      <c r="O52" s="2">
        <f t="shared" si="2"/>
        <v>40</v>
      </c>
      <c r="P52" s="2">
        <v>130</v>
      </c>
      <c r="Q52" s="2">
        <v>130</v>
      </c>
      <c r="R52" s="2">
        <v>130</v>
      </c>
      <c r="S52" s="2">
        <v>130</v>
      </c>
      <c r="T52" s="75">
        <f t="shared" si="3"/>
        <v>0</v>
      </c>
    </row>
    <row r="53" spans="1:20" ht="12.75">
      <c r="A53" t="s">
        <v>163</v>
      </c>
      <c r="B53" s="4">
        <v>53.176</v>
      </c>
      <c r="C53" s="2">
        <v>45</v>
      </c>
      <c r="D53" s="2">
        <v>22</v>
      </c>
      <c r="E53" s="2">
        <v>35</v>
      </c>
      <c r="F53" s="2">
        <v>101</v>
      </c>
      <c r="G53" s="2">
        <v>17</v>
      </c>
      <c r="H53" s="2">
        <v>23</v>
      </c>
      <c r="I53" s="2">
        <v>27</v>
      </c>
      <c r="J53" s="2">
        <v>22</v>
      </c>
      <c r="K53" s="2">
        <v>5</v>
      </c>
      <c r="L53" s="2">
        <v>75</v>
      </c>
      <c r="M53" s="2">
        <v>22</v>
      </c>
      <c r="N53" s="2">
        <v>0</v>
      </c>
      <c r="O53" s="2">
        <f t="shared" si="2"/>
        <v>0</v>
      </c>
      <c r="P53" s="2">
        <v>30</v>
      </c>
      <c r="Q53" s="2">
        <v>30</v>
      </c>
      <c r="R53" s="2">
        <v>30</v>
      </c>
      <c r="S53" s="2">
        <v>30</v>
      </c>
      <c r="T53" s="75">
        <f t="shared" si="3"/>
        <v>0</v>
      </c>
    </row>
    <row r="54" spans="1:20" ht="12.75">
      <c r="A54" t="s">
        <v>164</v>
      </c>
      <c r="B54" s="4">
        <v>53.177</v>
      </c>
      <c r="C54" s="2">
        <v>1</v>
      </c>
      <c r="D54" s="2">
        <v>45</v>
      </c>
      <c r="E54" s="2">
        <v>89</v>
      </c>
      <c r="F54" s="2">
        <v>328</v>
      </c>
      <c r="G54" s="2">
        <v>196</v>
      </c>
      <c r="H54" s="2"/>
      <c r="I54" s="2"/>
      <c r="J54" s="2"/>
      <c r="K54" s="2"/>
      <c r="L54" s="2"/>
      <c r="M54" s="2">
        <v>72</v>
      </c>
      <c r="N54" s="2"/>
      <c r="O54" s="2">
        <f t="shared" si="2"/>
        <v>0</v>
      </c>
      <c r="P54" s="2"/>
      <c r="Q54" s="2"/>
      <c r="R54" s="2"/>
      <c r="S54" s="2"/>
      <c r="T54" s="75"/>
    </row>
    <row r="55" spans="1:20" ht="12.75">
      <c r="A55" t="s">
        <v>165</v>
      </c>
      <c r="B55" s="4">
        <v>53.178</v>
      </c>
      <c r="C55" s="2"/>
      <c r="D55" s="2"/>
      <c r="E55" s="2">
        <v>82</v>
      </c>
      <c r="F55" s="2">
        <v>153</v>
      </c>
      <c r="G55" s="2">
        <v>63</v>
      </c>
      <c r="H55" s="2">
        <v>63</v>
      </c>
      <c r="I55" s="2"/>
      <c r="J55" s="2"/>
      <c r="K55" s="2">
        <v>180</v>
      </c>
      <c r="L55" s="2"/>
      <c r="M55" s="2">
        <v>72</v>
      </c>
      <c r="N55" s="2"/>
      <c r="O55" s="2">
        <f t="shared" si="2"/>
        <v>0</v>
      </c>
      <c r="P55" s="2"/>
      <c r="Q55" s="2"/>
      <c r="R55" s="2"/>
      <c r="S55" s="2"/>
      <c r="T55" s="75"/>
    </row>
    <row r="56" spans="1:20" ht="12.75">
      <c r="A56" t="s">
        <v>153</v>
      </c>
      <c r="B56" s="4">
        <v>53.179</v>
      </c>
      <c r="C56" s="2">
        <v>356</v>
      </c>
      <c r="D56" s="2">
        <v>557</v>
      </c>
      <c r="E56" s="2">
        <v>481</v>
      </c>
      <c r="F56" s="2">
        <v>1172</v>
      </c>
      <c r="G56" s="2">
        <v>574</v>
      </c>
      <c r="H56" s="2">
        <v>253</v>
      </c>
      <c r="I56" s="2">
        <v>879</v>
      </c>
      <c r="J56" s="2">
        <v>364</v>
      </c>
      <c r="K56" s="2">
        <v>927</v>
      </c>
      <c r="L56" s="2">
        <v>1743</v>
      </c>
      <c r="M56" s="2">
        <v>327</v>
      </c>
      <c r="N56" s="2">
        <v>347</v>
      </c>
      <c r="O56" s="2">
        <f t="shared" si="2"/>
        <v>694</v>
      </c>
      <c r="P56" s="2">
        <v>1500</v>
      </c>
      <c r="Q56" s="2">
        <v>1500</v>
      </c>
      <c r="R56" s="2">
        <v>1500</v>
      </c>
      <c r="S56" s="2">
        <v>1500</v>
      </c>
      <c r="T56" s="75">
        <f t="shared" si="3"/>
        <v>0</v>
      </c>
    </row>
    <row r="57" spans="1:20" ht="10.5" customHeight="1">
      <c r="A57" t="s">
        <v>897</v>
      </c>
      <c r="B57" s="4">
        <v>52.3408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0</v>
      </c>
      <c r="O57" s="2">
        <f t="shared" si="2"/>
        <v>0</v>
      </c>
      <c r="P57" s="2"/>
      <c r="Q57" s="2"/>
      <c r="R57" s="2"/>
      <c r="S57" s="2"/>
      <c r="T57" s="75"/>
    </row>
    <row r="58" spans="1:20" ht="12.75">
      <c r="A58" t="s">
        <v>351</v>
      </c>
      <c r="B58" s="4">
        <v>54.13</v>
      </c>
      <c r="C58" s="2"/>
      <c r="D58" s="2"/>
      <c r="E58" s="2">
        <v>325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75"/>
    </row>
    <row r="59" spans="1:20" ht="12.75">
      <c r="A59" t="s">
        <v>683</v>
      </c>
      <c r="B59" s="4"/>
      <c r="C59" s="2"/>
      <c r="D59" s="2"/>
      <c r="E59" s="2"/>
      <c r="F59" s="2"/>
      <c r="G59" s="2"/>
      <c r="H59" s="2"/>
      <c r="I59" s="2"/>
      <c r="J59" s="2"/>
      <c r="K59" s="2"/>
      <c r="L59" s="2">
        <v>64420</v>
      </c>
      <c r="M59" s="2"/>
      <c r="N59" s="2"/>
      <c r="O59" s="2"/>
      <c r="P59" s="2"/>
      <c r="Q59" s="2"/>
      <c r="R59" s="2"/>
      <c r="S59" s="2"/>
      <c r="T59" s="75"/>
    </row>
    <row r="60" spans="1:21" ht="12.75" hidden="1">
      <c r="A60" t="s">
        <v>335</v>
      </c>
      <c r="B60" s="4">
        <v>54.22</v>
      </c>
      <c r="C60" s="2"/>
      <c r="D60" s="2"/>
      <c r="F60" s="2">
        <v>1800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75"/>
      <c r="U60" s="2"/>
    </row>
    <row r="61" spans="1:21" ht="12.75">
      <c r="A61" t="s">
        <v>917</v>
      </c>
      <c r="B61" s="4"/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>
        <v>80000</v>
      </c>
      <c r="P61" s="2"/>
      <c r="Q61" s="2"/>
      <c r="R61" s="2"/>
      <c r="S61" s="2"/>
      <c r="T61" s="75"/>
      <c r="U61" s="2"/>
    </row>
    <row r="62" spans="1:21" ht="12.75">
      <c r="A62" t="s">
        <v>77</v>
      </c>
      <c r="B62" s="4"/>
      <c r="C62" s="2"/>
      <c r="D62" s="2"/>
      <c r="F62" s="2"/>
      <c r="G62" s="2"/>
      <c r="H62" s="2"/>
      <c r="I62" s="2"/>
      <c r="J62" s="2"/>
      <c r="K62" s="2"/>
      <c r="L62" s="2"/>
      <c r="M62" s="2">
        <v>6020</v>
      </c>
      <c r="N62" s="2"/>
      <c r="O62" s="2"/>
      <c r="P62" s="19"/>
      <c r="Q62" s="2"/>
      <c r="R62" s="2"/>
      <c r="S62" s="2"/>
      <c r="T62" s="75"/>
      <c r="U62" s="6"/>
    </row>
    <row r="63" spans="1:20" ht="12.75">
      <c r="A63" t="s">
        <v>203</v>
      </c>
      <c r="B63" s="4">
        <v>54.24</v>
      </c>
      <c r="F63" s="2">
        <v>2520</v>
      </c>
      <c r="G63" s="2"/>
      <c r="H63" s="2">
        <v>3022</v>
      </c>
      <c r="I63" s="2">
        <v>2052</v>
      </c>
      <c r="J63" s="2"/>
      <c r="K63" s="2"/>
      <c r="L63" s="2">
        <v>10443</v>
      </c>
      <c r="M63" s="2">
        <v>1791</v>
      </c>
      <c r="N63" s="2"/>
      <c r="O63" s="2"/>
      <c r="P63" s="2"/>
      <c r="Q63" s="2">
        <v>5000</v>
      </c>
      <c r="R63" s="2"/>
      <c r="S63" s="2"/>
      <c r="T63" s="75"/>
    </row>
    <row r="64" spans="1:20" ht="12.75" hidden="1">
      <c r="A64" t="s">
        <v>77</v>
      </c>
      <c r="B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75"/>
    </row>
    <row r="65" spans="1:20" ht="12.75">
      <c r="A65" t="s">
        <v>69</v>
      </c>
      <c r="B65" s="4"/>
      <c r="F65" s="2"/>
      <c r="G65" s="2"/>
      <c r="H65" s="2"/>
      <c r="I65" s="2"/>
      <c r="J65" s="2"/>
      <c r="K65" s="2"/>
      <c r="L65" s="2"/>
      <c r="M65" s="2">
        <v>2619</v>
      </c>
      <c r="N65" s="2"/>
      <c r="O65" s="2"/>
      <c r="P65" s="2"/>
      <c r="Q65" s="2"/>
      <c r="R65" s="2"/>
      <c r="S65" s="2"/>
      <c r="T65" s="75"/>
    </row>
    <row r="66" spans="1:21" ht="12.75">
      <c r="A66" t="s">
        <v>166</v>
      </c>
      <c r="B66" s="4">
        <v>54.25</v>
      </c>
      <c r="C66" s="2"/>
      <c r="D66" s="2"/>
      <c r="E66" s="2">
        <v>4378</v>
      </c>
      <c r="F66" s="2">
        <v>6902</v>
      </c>
      <c r="G66" s="2"/>
      <c r="H66" s="2">
        <v>30530</v>
      </c>
      <c r="I66" s="2">
        <v>9000</v>
      </c>
      <c r="J66" s="2">
        <v>12735</v>
      </c>
      <c r="K66" s="2"/>
      <c r="L66" s="2"/>
      <c r="M66" s="2"/>
      <c r="N66" s="2"/>
      <c r="O66" s="2"/>
      <c r="P66" s="2"/>
      <c r="Q66" s="2">
        <v>0</v>
      </c>
      <c r="R66" s="2">
        <v>0</v>
      </c>
      <c r="S66" s="2">
        <v>0</v>
      </c>
      <c r="T66" s="75"/>
      <c r="U66" s="2" t="s">
        <v>935</v>
      </c>
    </row>
    <row r="67" spans="1:21" ht="12.75" hidden="1">
      <c r="A67" t="s">
        <v>166</v>
      </c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48"/>
      <c r="U67" s="2"/>
    </row>
    <row r="68" spans="1:20" ht="12.75">
      <c r="A68" t="s">
        <v>731</v>
      </c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48"/>
    </row>
    <row r="69" spans="1:20" ht="12.75" hidden="1">
      <c r="A69" t="s">
        <v>167</v>
      </c>
      <c r="B69" s="4">
        <v>58.12</v>
      </c>
      <c r="C69" s="2">
        <v>1318</v>
      </c>
      <c r="D69" s="2">
        <v>24558</v>
      </c>
      <c r="E69" s="2">
        <v>11011</v>
      </c>
      <c r="F69" s="2">
        <v>8541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8"/>
    </row>
    <row r="71" spans="1:20" ht="12.75">
      <c r="A71" s="6" t="s">
        <v>91</v>
      </c>
      <c r="B71" s="6"/>
      <c r="C71" s="7">
        <f aca="true" t="shared" si="4" ref="C71:I71">SUM(C7:C70)</f>
        <v>157620</v>
      </c>
      <c r="D71" s="8">
        <f t="shared" si="4"/>
        <v>221707</v>
      </c>
      <c r="E71" s="8">
        <f t="shared" si="4"/>
        <v>233454</v>
      </c>
      <c r="F71" s="8">
        <f t="shared" si="4"/>
        <v>278053</v>
      </c>
      <c r="G71" s="8">
        <f t="shared" si="4"/>
        <v>229493</v>
      </c>
      <c r="H71" s="8">
        <f t="shared" si="4"/>
        <v>229805</v>
      </c>
      <c r="I71" s="8">
        <f t="shared" si="4"/>
        <v>258872</v>
      </c>
      <c r="J71" s="8">
        <v>249921</v>
      </c>
      <c r="K71" s="8">
        <f>SUM(K7:K70)</f>
        <v>263070</v>
      </c>
      <c r="L71" s="8">
        <v>420252</v>
      </c>
      <c r="M71" s="8">
        <v>894791</v>
      </c>
      <c r="N71" s="8">
        <f aca="true" t="shared" si="5" ref="N71:S71">SUM(N7:N70)</f>
        <v>513481</v>
      </c>
      <c r="O71" s="8">
        <f>SUM(O7:O70)</f>
        <v>992113.936</v>
      </c>
      <c r="P71" s="8">
        <f t="shared" si="5"/>
        <v>843424.16</v>
      </c>
      <c r="Q71" s="8">
        <f t="shared" si="5"/>
        <v>679419.12051</v>
      </c>
      <c r="R71" s="8">
        <f t="shared" si="5"/>
        <v>386549.12051</v>
      </c>
      <c r="S71" s="8">
        <f t="shared" si="5"/>
        <v>386549.12051</v>
      </c>
      <c r="T71" s="49">
        <f>(S71-P71)/P71</f>
        <v>-0.541690718807486</v>
      </c>
    </row>
    <row r="73" spans="16:18" ht="12.75">
      <c r="P73" s="20" t="s">
        <v>445</v>
      </c>
      <c r="Q73" s="20"/>
      <c r="R73" s="52">
        <f>Q71-R71</f>
        <v>292870.00000000006</v>
      </c>
    </row>
    <row r="74" spans="10:18" ht="12.75">
      <c r="J74" s="2">
        <f>L63+L59</f>
        <v>74863</v>
      </c>
      <c r="P74" s="20" t="s">
        <v>668</v>
      </c>
      <c r="Q74" s="20"/>
      <c r="R74" s="52">
        <f>P71-R71</f>
        <v>456875.03949000005</v>
      </c>
    </row>
    <row r="75" spans="16:18" ht="12.75">
      <c r="P75" s="20" t="s">
        <v>397</v>
      </c>
      <c r="Q75" s="20"/>
      <c r="R75" s="52">
        <f>R71-S71</f>
        <v>0</v>
      </c>
    </row>
    <row r="76" spans="16:18" ht="12.75">
      <c r="P76" s="20"/>
      <c r="Q76" s="20"/>
      <c r="R76" s="52"/>
    </row>
    <row r="77" spans="16:18" ht="12.75">
      <c r="P77" s="20"/>
      <c r="Q77" s="20"/>
      <c r="R77" s="52"/>
    </row>
    <row r="78" ht="12.75">
      <c r="A78" t="s">
        <v>944</v>
      </c>
    </row>
    <row r="79" ht="12.75">
      <c r="A79" t="s">
        <v>916</v>
      </c>
    </row>
    <row r="80" ht="12.75">
      <c r="A80" s="30" t="s">
        <v>936</v>
      </c>
    </row>
    <row r="81" ht="12.75">
      <c r="A81" s="30" t="s">
        <v>937</v>
      </c>
    </row>
    <row r="82" ht="12.75">
      <c r="A82" s="20" t="s">
        <v>998</v>
      </c>
    </row>
    <row r="84" ht="12.75">
      <c r="A84" s="30" t="s">
        <v>938</v>
      </c>
    </row>
    <row r="85" ht="12.75">
      <c r="A85" s="30" t="s">
        <v>987</v>
      </c>
    </row>
    <row r="97" ht="12.75">
      <c r="T97" s="2"/>
    </row>
    <row r="98" ht="12.75">
      <c r="T98" s="2"/>
    </row>
    <row r="99" ht="12.75">
      <c r="T99" s="2"/>
    </row>
    <row r="100" ht="12.75">
      <c r="T100" s="2"/>
    </row>
    <row r="101" ht="12.75">
      <c r="T101" s="2"/>
    </row>
    <row r="102" ht="12.75">
      <c r="T102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55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8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hidden="1" customWidth="1"/>
    <col min="9" max="10" width="9.140625" style="0" hidden="1" customWidth="1"/>
    <col min="15" max="15" width="9.7109375" style="0" bestFit="1" customWidth="1"/>
    <col min="16" max="16" width="12.140625" style="0" customWidth="1"/>
    <col min="17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405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t="s">
        <v>606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105301</v>
      </c>
      <c r="M7" s="2">
        <v>139643</v>
      </c>
      <c r="N7" s="2">
        <f>53466+35644</f>
        <v>89110</v>
      </c>
      <c r="O7" s="2">
        <v>143000</v>
      </c>
      <c r="P7" s="2">
        <v>140000</v>
      </c>
      <c r="Q7" s="19">
        <f>140000-45000</f>
        <v>95000</v>
      </c>
      <c r="R7" s="19">
        <v>95000</v>
      </c>
      <c r="S7" s="19">
        <v>95000</v>
      </c>
      <c r="T7" s="48">
        <f>(S7-P7)/P7</f>
        <v>-0.32142857142857145</v>
      </c>
      <c r="U7" s="30" t="s">
        <v>338</v>
      </c>
    </row>
    <row r="8" spans="1:20" ht="12.75">
      <c r="A8" t="s">
        <v>450</v>
      </c>
      <c r="B8" s="4">
        <v>52.3112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/>
      <c r="N8" s="2">
        <v>0</v>
      </c>
      <c r="O8" s="2"/>
      <c r="P8" s="2"/>
      <c r="Q8" s="2"/>
      <c r="R8" s="2"/>
      <c r="S8" s="2"/>
      <c r="T8" s="48">
        <v>0.22919549363085504</v>
      </c>
    </row>
    <row r="9" spans="1:21" ht="12.75">
      <c r="A9" t="s">
        <v>754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>
        <v>122726</v>
      </c>
      <c r="N9" s="2"/>
      <c r="O9" s="2"/>
      <c r="P9" s="2"/>
      <c r="Q9" s="165"/>
      <c r="R9" s="165"/>
      <c r="S9" s="165"/>
      <c r="T9" s="48"/>
      <c r="U9" s="166"/>
    </row>
    <row r="10" spans="1:21" ht="12.75">
      <c r="A10" t="s">
        <v>755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142202</v>
      </c>
      <c r="N10" s="2"/>
      <c r="O10" s="19">
        <v>150000</v>
      </c>
      <c r="P10" s="2">
        <v>150000</v>
      </c>
      <c r="Q10" s="19">
        <f>150000-12000</f>
        <v>138000</v>
      </c>
      <c r="R10" s="19">
        <v>138000</v>
      </c>
      <c r="S10" s="19">
        <v>138000</v>
      </c>
      <c r="T10" s="48"/>
      <c r="U10" s="30" t="s">
        <v>338</v>
      </c>
    </row>
    <row r="11" spans="1:20" ht="12.75">
      <c r="A11" t="s">
        <v>744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191</v>
      </c>
      <c r="N11" s="2">
        <v>5000</v>
      </c>
      <c r="O11" s="2">
        <v>5000</v>
      </c>
      <c r="P11" s="2">
        <v>3000</v>
      </c>
      <c r="Q11" s="2">
        <v>3000</v>
      </c>
      <c r="R11" s="2">
        <v>3000</v>
      </c>
      <c r="S11" s="2">
        <v>3000</v>
      </c>
      <c r="T11" s="48"/>
    </row>
    <row r="12" spans="1:20" ht="12.75">
      <c r="A12" t="s">
        <v>233</v>
      </c>
      <c r="B12" s="4">
        <v>53.171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504</v>
      </c>
      <c r="O12" s="2">
        <v>504</v>
      </c>
      <c r="P12" s="2"/>
      <c r="Q12" s="2"/>
      <c r="R12" s="2"/>
      <c r="S12" s="2"/>
      <c r="T12" s="48"/>
    </row>
    <row r="13" spans="1:20" ht="12.75">
      <c r="A13" t="s">
        <v>884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831</v>
      </c>
      <c r="N13" s="2"/>
      <c r="O13" s="2"/>
      <c r="P13" s="2"/>
      <c r="Q13" s="2"/>
      <c r="R13" s="2"/>
      <c r="S13" s="2"/>
      <c r="T13" s="48"/>
    </row>
    <row r="14" spans="1:20" ht="12.75">
      <c r="A14" t="s">
        <v>565</v>
      </c>
      <c r="B14" s="4"/>
      <c r="C14" s="2"/>
      <c r="D14" s="2"/>
      <c r="E14" s="2"/>
      <c r="F14" s="2"/>
      <c r="G14" s="2"/>
      <c r="H14" s="2"/>
      <c r="I14" s="2">
        <f>700+108851</f>
        <v>109551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48"/>
    </row>
    <row r="15" spans="1:20" ht="12.75">
      <c r="A15" t="s">
        <v>642</v>
      </c>
      <c r="B15" s="4"/>
      <c r="C15" s="2"/>
      <c r="D15" s="2"/>
      <c r="E15" s="2"/>
      <c r="F15" s="2"/>
      <c r="G15" s="2"/>
      <c r="H15" s="2"/>
      <c r="I15" s="2">
        <v>39377</v>
      </c>
      <c r="J15" s="2">
        <v>74723</v>
      </c>
      <c r="K15" s="2"/>
      <c r="L15" s="2"/>
      <c r="M15" s="2"/>
      <c r="N15" s="2"/>
      <c r="O15" s="2"/>
      <c r="P15" s="2"/>
      <c r="Q15" s="2"/>
      <c r="R15" s="2"/>
      <c r="S15" s="2"/>
      <c r="T15" s="48"/>
    </row>
    <row r="16" spans="1:20" ht="12.75">
      <c r="A16" t="s">
        <v>643</v>
      </c>
      <c r="B16" s="4"/>
      <c r="C16" s="2"/>
      <c r="D16" s="2"/>
      <c r="E16" s="2"/>
      <c r="F16" s="2"/>
      <c r="G16" s="2"/>
      <c r="H16" s="2"/>
      <c r="I16" s="2">
        <f>14817+200</f>
        <v>15017</v>
      </c>
      <c r="J16" s="2">
        <v>69338</v>
      </c>
      <c r="K16" s="2"/>
      <c r="L16" s="2"/>
      <c r="M16" s="2"/>
      <c r="N16" s="2"/>
      <c r="O16" s="2"/>
      <c r="P16" s="2"/>
      <c r="Q16" s="2"/>
      <c r="R16" s="2"/>
      <c r="S16" s="2"/>
      <c r="T16" s="48"/>
    </row>
    <row r="17" spans="1:20" ht="12.75">
      <c r="A17" t="s">
        <v>698</v>
      </c>
      <c r="B17" s="4"/>
      <c r="C17" s="2"/>
      <c r="D17" s="2"/>
      <c r="E17" s="2"/>
      <c r="F17" s="2"/>
      <c r="G17" s="2"/>
      <c r="H17" s="2"/>
      <c r="I17" s="2"/>
      <c r="J17" s="2">
        <v>1083</v>
      </c>
      <c r="K17" s="2">
        <v>14798</v>
      </c>
      <c r="L17" s="2"/>
      <c r="M17" s="2"/>
      <c r="N17" s="2"/>
      <c r="O17" s="2"/>
      <c r="P17" s="2"/>
      <c r="Q17" s="2"/>
      <c r="R17" s="2"/>
      <c r="S17" s="2"/>
      <c r="T17" s="48"/>
    </row>
    <row r="18" spans="1:20" ht="12.75">
      <c r="A18" t="s">
        <v>699</v>
      </c>
      <c r="B18" s="4">
        <v>54.2204</v>
      </c>
      <c r="C18" s="2"/>
      <c r="D18" s="2"/>
      <c r="E18" s="2"/>
      <c r="F18" s="2"/>
      <c r="G18" s="2"/>
      <c r="H18" s="2"/>
      <c r="I18" s="2"/>
      <c r="J18" s="2">
        <v>11143</v>
      </c>
      <c r="K18" s="2"/>
      <c r="L18" s="2"/>
      <c r="M18" s="2"/>
      <c r="N18" s="2">
        <v>114514</v>
      </c>
      <c r="O18" s="2">
        <v>114514</v>
      </c>
      <c r="P18" s="2">
        <v>115000</v>
      </c>
      <c r="Q18" s="2"/>
      <c r="R18" s="2"/>
      <c r="S18" s="2"/>
      <c r="T18" s="48"/>
    </row>
    <row r="19" spans="1:21" ht="12.75">
      <c r="A19" t="s">
        <v>55</v>
      </c>
      <c r="B19" s="4">
        <v>53.1752</v>
      </c>
      <c r="C19" s="2"/>
      <c r="D19" s="2"/>
      <c r="E19" s="2"/>
      <c r="F19" s="2"/>
      <c r="G19" s="2">
        <v>511</v>
      </c>
      <c r="H19" s="2">
        <v>3561</v>
      </c>
      <c r="I19" s="2">
        <v>2906</v>
      </c>
      <c r="J19" s="2">
        <v>1332</v>
      </c>
      <c r="K19" s="2">
        <v>6784</v>
      </c>
      <c r="L19" s="2">
        <f>16776+1250</f>
        <v>18026</v>
      </c>
      <c r="M19" s="2">
        <v>10838</v>
      </c>
      <c r="N19" s="2">
        <v>0</v>
      </c>
      <c r="O19" s="2">
        <v>4000</v>
      </c>
      <c r="P19" s="2">
        <v>4000</v>
      </c>
      <c r="Q19" s="2"/>
      <c r="R19" s="2"/>
      <c r="S19" s="2"/>
      <c r="T19" s="48"/>
      <c r="U19" s="30" t="s">
        <v>463</v>
      </c>
    </row>
    <row r="20" spans="1:20" ht="12.75">
      <c r="A20" t="s">
        <v>709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8"/>
    </row>
    <row r="21" spans="1:20" ht="12.75">
      <c r="A21" s="6" t="s">
        <v>91</v>
      </c>
      <c r="B21" s="6"/>
      <c r="C21" s="8">
        <f>SUM(C7:C8)</f>
        <v>171041</v>
      </c>
      <c r="D21" s="8">
        <f>SUM(D7:D8)</f>
        <v>176636</v>
      </c>
      <c r="E21" s="8">
        <f>SUM(E7:E19)</f>
        <v>203442</v>
      </c>
      <c r="F21" s="8">
        <f>SUM(F7:F19)</f>
        <v>215708</v>
      </c>
      <c r="G21" s="8">
        <f>SUM(G7:G19)</f>
        <v>265713</v>
      </c>
      <c r="H21" s="8">
        <f>SUM(H7:H19)</f>
        <v>276152</v>
      </c>
      <c r="I21" s="8">
        <f>SUM(I7:I19)</f>
        <v>444245</v>
      </c>
      <c r="J21" s="8">
        <v>435633</v>
      </c>
      <c r="K21" s="8">
        <f aca="true" t="shared" si="0" ref="K21:S21">SUM(K7:K20)</f>
        <v>346273</v>
      </c>
      <c r="L21" s="8">
        <v>309495</v>
      </c>
      <c r="M21" s="8">
        <v>416431</v>
      </c>
      <c r="N21" s="8">
        <f t="shared" si="0"/>
        <v>209128</v>
      </c>
      <c r="O21" s="8">
        <f t="shared" si="0"/>
        <v>417018</v>
      </c>
      <c r="P21" s="8">
        <f t="shared" si="0"/>
        <v>412000</v>
      </c>
      <c r="Q21" s="8">
        <f t="shared" si="0"/>
        <v>236000</v>
      </c>
      <c r="R21" s="8">
        <f t="shared" si="0"/>
        <v>236000</v>
      </c>
      <c r="S21" s="8">
        <f t="shared" si="0"/>
        <v>236000</v>
      </c>
      <c r="T21" s="49">
        <f>(S21-P21)/P21</f>
        <v>-0.42718446601941745</v>
      </c>
    </row>
    <row r="22" spans="3:20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8"/>
    </row>
    <row r="23" spans="3:20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0" t="s">
        <v>445</v>
      </c>
      <c r="Q23" s="20"/>
      <c r="R23" s="52">
        <f>Q21-R21</f>
        <v>0</v>
      </c>
      <c r="S23" s="2"/>
      <c r="T23" s="48"/>
    </row>
    <row r="24" spans="16:20" ht="12.75">
      <c r="P24" s="20" t="s">
        <v>668</v>
      </c>
      <c r="Q24" s="20"/>
      <c r="R24" s="52">
        <f>P21-R21</f>
        <v>176000</v>
      </c>
      <c r="T24" s="48"/>
    </row>
    <row r="25" spans="16:20" ht="12.75">
      <c r="P25" s="20" t="s">
        <v>397</v>
      </c>
      <c r="Q25" s="20"/>
      <c r="R25" s="52">
        <f>R21-S21</f>
        <v>0</v>
      </c>
      <c r="T25" s="48"/>
    </row>
    <row r="26" spans="16:20" ht="12.75">
      <c r="P26" s="20"/>
      <c r="Q26" s="20"/>
      <c r="R26" s="52"/>
      <c r="T26" s="48"/>
    </row>
    <row r="27" spans="1:20" ht="12.75">
      <c r="A27" t="s">
        <v>527</v>
      </c>
      <c r="L27" t="s">
        <v>918</v>
      </c>
      <c r="M27" t="s">
        <v>919</v>
      </c>
      <c r="T27" s="87" t="s">
        <v>530</v>
      </c>
    </row>
    <row r="28" spans="1:20" ht="12.75">
      <c r="A28" t="s">
        <v>528</v>
      </c>
      <c r="E28" s="86">
        <f aca="true" t="shared" si="1" ref="E28:K29">(E7-D7)/D7</f>
        <v>0.08570984814996237</v>
      </c>
      <c r="F28" s="86">
        <f t="shared" si="1"/>
        <v>0.17893810178817057</v>
      </c>
      <c r="G28" s="86">
        <f aca="true" t="shared" si="2" ref="G28:M28">(G7-F7)/F7</f>
        <v>0.4073140681003584</v>
      </c>
      <c r="H28" s="86">
        <f t="shared" si="2"/>
        <v>-0.18241208696459602</v>
      </c>
      <c r="I28" s="86">
        <f t="shared" si="2"/>
        <v>0.05458704804860835</v>
      </c>
      <c r="J28" s="86">
        <f t="shared" si="2"/>
        <v>-0.06369230769230769</v>
      </c>
      <c r="K28" s="86">
        <f t="shared" si="2"/>
        <v>0.2141307919815971</v>
      </c>
      <c r="L28" s="86">
        <f t="shared" si="2"/>
        <v>-0.2874668435013263</v>
      </c>
      <c r="M28" s="86">
        <f t="shared" si="2"/>
        <v>0.3261317556338496</v>
      </c>
      <c r="T28" s="48">
        <f>SUM(E28:N28)/5</f>
        <v>0.1466480751088633</v>
      </c>
    </row>
    <row r="29" spans="1:20" ht="12.75">
      <c r="A29" t="s">
        <v>529</v>
      </c>
      <c r="E29" s="86">
        <f t="shared" si="1"/>
        <v>0.21124441814171194</v>
      </c>
      <c r="F29" s="86">
        <f t="shared" si="1"/>
        <v>-0.03548997485941706</v>
      </c>
      <c r="G29" s="86">
        <f t="shared" si="1"/>
        <v>0.0539365582286409</v>
      </c>
      <c r="H29" s="86">
        <f t="shared" si="1"/>
        <v>0.3049253679169434</v>
      </c>
      <c r="I29" s="86">
        <f t="shared" si="1"/>
        <v>-0.012898473077953389</v>
      </c>
      <c r="J29" s="86">
        <f t="shared" si="1"/>
        <v>0.23860537063923903</v>
      </c>
      <c r="K29" s="86">
        <f t="shared" si="1"/>
        <v>-0.03847438966274656</v>
      </c>
      <c r="L29" s="86">
        <f>(L8-K8)/K8</f>
        <v>0.04746523564564</v>
      </c>
      <c r="M29" s="86">
        <f>(M10-L8)/L8</f>
        <v>-0.2266208374349408</v>
      </c>
      <c r="T29" s="48">
        <f>SUM(E29:N29)/5</f>
        <v>0.10853865510742348</v>
      </c>
    </row>
    <row r="30" spans="5:20" ht="12.75">
      <c r="E30" s="86"/>
      <c r="F30" s="86"/>
      <c r="G30" s="86"/>
      <c r="H30" s="86"/>
      <c r="I30" s="86"/>
      <c r="J30" s="86"/>
      <c r="K30" s="86"/>
      <c r="L30" s="86"/>
      <c r="M30" s="86"/>
      <c r="T30" s="48"/>
    </row>
    <row r="31" ht="12.75">
      <c r="T31" s="48"/>
    </row>
    <row r="32" spans="1:20" ht="12.75">
      <c r="A32" t="s">
        <v>969</v>
      </c>
      <c r="T32" s="48"/>
    </row>
    <row r="33" spans="1:20" ht="12.75">
      <c r="A33" s="30" t="s">
        <v>970</v>
      </c>
      <c r="T33" s="48"/>
    </row>
    <row r="34" spans="1:20" ht="12.75">
      <c r="A34" s="30" t="s">
        <v>968</v>
      </c>
      <c r="T34" s="48"/>
    </row>
    <row r="35" ht="12.75">
      <c r="T35" s="48"/>
    </row>
    <row r="36" spans="1:20" ht="12.75">
      <c r="A36" s="6"/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83" ht="12.75">
      <c r="T83" s="2"/>
    </row>
    <row r="84" ht="12.75">
      <c r="T84" s="2"/>
    </row>
    <row r="85" ht="12.75">
      <c r="T85" s="2"/>
    </row>
    <row r="86" ht="12.75">
      <c r="T86" s="2"/>
    </row>
    <row r="87" ht="12.75">
      <c r="T87" s="2"/>
    </row>
    <row r="88" ht="12.75">
      <c r="T88" s="2"/>
    </row>
  </sheetData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7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9" width="8.00390625" style="0" hidden="1" customWidth="1"/>
    <col min="10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616</v>
      </c>
      <c r="N3" s="53">
        <v>6</v>
      </c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2:20" ht="12.75">
      <c r="B5" s="55"/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406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0" ht="12.75">
      <c r="A7" t="s">
        <v>306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41858</v>
      </c>
      <c r="M7" s="2">
        <v>39122</v>
      </c>
      <c r="N7" s="2">
        <v>38950</v>
      </c>
      <c r="O7" s="2">
        <v>38950</v>
      </c>
      <c r="P7" s="2">
        <v>42000</v>
      </c>
      <c r="Q7" s="2">
        <v>42000</v>
      </c>
      <c r="R7" s="2">
        <v>42000</v>
      </c>
      <c r="S7" s="2">
        <v>42000</v>
      </c>
      <c r="T7" s="48">
        <f>(S7-P7)/P7</f>
        <v>0</v>
      </c>
    </row>
    <row r="8" spans="1:20" ht="12.75">
      <c r="A8" t="s">
        <v>718</v>
      </c>
      <c r="B8" s="4">
        <v>52.1427</v>
      </c>
      <c r="C8" s="2"/>
      <c r="D8" s="2"/>
      <c r="E8" s="2"/>
      <c r="F8" s="2"/>
      <c r="G8" s="2">
        <v>3911</v>
      </c>
      <c r="H8" s="2"/>
      <c r="I8" s="2"/>
      <c r="J8" s="2"/>
      <c r="K8" s="2">
        <v>5000</v>
      </c>
      <c r="L8" s="2"/>
      <c r="M8" s="2"/>
      <c r="N8" s="2"/>
      <c r="O8" s="2"/>
      <c r="P8" s="2"/>
      <c r="T8" s="48"/>
    </row>
    <row r="9" spans="1:20" ht="12.75">
      <c r="A9" s="6" t="s">
        <v>91</v>
      </c>
      <c r="B9" s="6"/>
      <c r="C9" s="8">
        <f>SUM(C7:C7)</f>
        <v>35584</v>
      </c>
      <c r="D9" s="8">
        <f>SUM(D7:D7)</f>
        <v>47933</v>
      </c>
      <c r="E9" s="8">
        <f>SUM(E7:E8)</f>
        <v>44439</v>
      </c>
      <c r="F9" s="8">
        <f>SUM(F7:F8)</f>
        <v>48404</v>
      </c>
      <c r="G9" s="8">
        <f>SUM(G7:G8)</f>
        <v>57113</v>
      </c>
      <c r="H9" s="8">
        <f>SUM(H7:H8)</f>
        <v>40704</v>
      </c>
      <c r="I9" s="8">
        <f>SUM(I7:I8)</f>
        <v>33258</v>
      </c>
      <c r="J9" s="8">
        <v>37633</v>
      </c>
      <c r="K9" s="8">
        <f>SUM(K7:K8)</f>
        <v>41914</v>
      </c>
      <c r="L9" s="8">
        <v>41858</v>
      </c>
      <c r="M9" s="8">
        <v>39122</v>
      </c>
      <c r="N9" s="8">
        <f aca="true" t="shared" si="0" ref="N9:S9">SUM(N7:N8)</f>
        <v>38950</v>
      </c>
      <c r="O9" s="8">
        <f t="shared" si="0"/>
        <v>38950</v>
      </c>
      <c r="P9" s="8">
        <f t="shared" si="0"/>
        <v>42000</v>
      </c>
      <c r="Q9" s="8">
        <f t="shared" si="0"/>
        <v>42000</v>
      </c>
      <c r="R9" s="8">
        <f t="shared" si="0"/>
        <v>42000</v>
      </c>
      <c r="S9" s="8">
        <f t="shared" si="0"/>
        <v>42000</v>
      </c>
      <c r="T9" s="56">
        <f>(S9-P9)/P9</f>
        <v>0</v>
      </c>
    </row>
    <row r="10" spans="3:20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3:20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0" t="s">
        <v>445</v>
      </c>
      <c r="Q11" s="20"/>
      <c r="R11" s="52">
        <f>Q9-R9</f>
        <v>0</v>
      </c>
      <c r="S11" s="2"/>
      <c r="T11" s="48"/>
    </row>
    <row r="12" spans="16:20" ht="12.75">
      <c r="P12" s="20" t="s">
        <v>668</v>
      </c>
      <c r="Q12" s="20"/>
      <c r="R12" s="52">
        <f>P9-R9</f>
        <v>0</v>
      </c>
      <c r="T12" s="48"/>
    </row>
    <row r="13" spans="16:20" ht="12.75">
      <c r="P13" s="20" t="s">
        <v>397</v>
      </c>
      <c r="Q13" s="20"/>
      <c r="R13" s="52">
        <f>R9-S9</f>
        <v>0</v>
      </c>
      <c r="T13" s="48"/>
    </row>
    <row r="14" ht="12.75">
      <c r="T14" s="48"/>
    </row>
    <row r="15" ht="12.75">
      <c r="T15" s="48"/>
    </row>
    <row r="16" ht="12.75"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2"/>
    </row>
    <row r="30" ht="12.75">
      <c r="T30" s="56"/>
    </row>
    <row r="73" ht="12.75">
      <c r="T73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9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10" width="11.7109375" style="0" hidden="1" customWidth="1"/>
    <col min="11" max="13" width="11.7109375" style="0" customWidth="1"/>
    <col min="14" max="15" width="9.8515625" style="0" bestFit="1" customWidth="1"/>
    <col min="16" max="16" width="10.8515625" style="0" customWidth="1"/>
    <col min="17" max="17" width="10.00390625" style="0" bestFit="1" customWidth="1"/>
    <col min="18" max="18" width="11.00390625" style="0" bestFit="1" customWidth="1"/>
    <col min="19" max="19" width="10.42187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408</v>
      </c>
      <c r="N3" s="53">
        <v>6</v>
      </c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410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36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t="s">
        <v>843</v>
      </c>
      <c r="C7" s="1"/>
      <c r="D7" s="85"/>
      <c r="E7" s="85"/>
      <c r="F7" s="85"/>
      <c r="G7" s="85"/>
      <c r="H7" s="85"/>
      <c r="I7" s="85"/>
      <c r="J7" s="85"/>
      <c r="K7" s="85"/>
      <c r="L7" s="129">
        <v>98983</v>
      </c>
      <c r="M7" s="129">
        <v>99610</v>
      </c>
      <c r="N7" s="113"/>
      <c r="O7" s="114"/>
      <c r="P7" s="112"/>
      <c r="Q7" s="112"/>
      <c r="R7" s="112"/>
      <c r="S7" s="112"/>
      <c r="T7" s="112"/>
      <c r="U7" s="93"/>
    </row>
    <row r="8" spans="1:21" ht="12.75">
      <c r="A8" t="s">
        <v>868</v>
      </c>
      <c r="C8" s="1"/>
      <c r="D8" s="85"/>
      <c r="E8" s="85"/>
      <c r="F8" s="85"/>
      <c r="G8" s="85"/>
      <c r="H8" s="85"/>
      <c r="I8" s="85"/>
      <c r="J8" s="85"/>
      <c r="K8" s="85"/>
      <c r="L8" s="129"/>
      <c r="M8" s="129">
        <v>5800</v>
      </c>
      <c r="N8" s="113"/>
      <c r="O8" s="114"/>
      <c r="P8" s="112"/>
      <c r="Q8" s="112"/>
      <c r="R8" s="112"/>
      <c r="S8" s="112"/>
      <c r="T8" s="112"/>
      <c r="U8" s="93"/>
    </row>
    <row r="9" spans="1:21" ht="12.75">
      <c r="A9" t="s">
        <v>170</v>
      </c>
      <c r="B9" s="4">
        <v>52.211</v>
      </c>
      <c r="C9" s="2"/>
      <c r="D9" s="2"/>
      <c r="E9" s="2">
        <v>153</v>
      </c>
      <c r="F9" s="2">
        <v>279</v>
      </c>
      <c r="G9" s="2"/>
      <c r="H9" s="2"/>
      <c r="I9" s="2"/>
      <c r="J9" s="2">
        <v>495</v>
      </c>
      <c r="K9" s="2">
        <v>1835</v>
      </c>
      <c r="L9" s="2">
        <v>3146</v>
      </c>
      <c r="M9" s="2">
        <v>2987</v>
      </c>
      <c r="N9" s="11">
        <v>1521</v>
      </c>
      <c r="O9" s="2">
        <v>3400</v>
      </c>
      <c r="P9" s="2">
        <v>3400</v>
      </c>
      <c r="Q9" s="2">
        <v>3400</v>
      </c>
      <c r="R9" s="2">
        <v>3400</v>
      </c>
      <c r="S9" s="2">
        <v>3400</v>
      </c>
      <c r="T9" s="48"/>
      <c r="U9" s="15"/>
    </row>
    <row r="10" spans="1:20" ht="12.75">
      <c r="A10" t="s">
        <v>171</v>
      </c>
      <c r="B10" s="4">
        <v>52.214</v>
      </c>
      <c r="C10" s="2"/>
      <c r="D10" s="2">
        <v>4455</v>
      </c>
      <c r="E10" s="2">
        <v>3370</v>
      </c>
      <c r="F10" s="2">
        <v>3790</v>
      </c>
      <c r="G10" s="2">
        <v>2570</v>
      </c>
      <c r="H10" s="2">
        <v>2604</v>
      </c>
      <c r="I10" s="2">
        <v>4448</v>
      </c>
      <c r="J10" s="2">
        <v>5590</v>
      </c>
      <c r="K10" s="2">
        <v>3565</v>
      </c>
      <c r="L10" s="2">
        <v>3890</v>
      </c>
      <c r="M10" s="2">
        <v>3630</v>
      </c>
      <c r="N10" s="11">
        <v>460</v>
      </c>
      <c r="O10" s="2">
        <v>4000</v>
      </c>
      <c r="P10" s="2">
        <v>4000</v>
      </c>
      <c r="Q10" s="2">
        <v>4000</v>
      </c>
      <c r="R10" s="2">
        <v>4000</v>
      </c>
      <c r="S10" s="2">
        <v>4000</v>
      </c>
      <c r="T10" s="75">
        <f>(S10-P10)/P10</f>
        <v>0</v>
      </c>
    </row>
    <row r="11" spans="1:20" ht="12.75">
      <c r="A11" t="s">
        <v>409</v>
      </c>
      <c r="B11" s="4">
        <v>52.2201</v>
      </c>
      <c r="C11" s="2"/>
      <c r="D11" s="2"/>
      <c r="E11" s="2">
        <v>6649</v>
      </c>
      <c r="F11" s="2">
        <v>9335</v>
      </c>
      <c r="G11" s="2">
        <v>11922</v>
      </c>
      <c r="H11" s="2">
        <v>5679</v>
      </c>
      <c r="I11" s="2">
        <v>6718</v>
      </c>
      <c r="J11" s="2">
        <v>7142</v>
      </c>
      <c r="K11" s="2">
        <f>6602+192</f>
        <v>6794</v>
      </c>
      <c r="L11" s="2">
        <f>9028+192</f>
        <v>9220</v>
      </c>
      <c r="M11" s="2">
        <v>11278</v>
      </c>
      <c r="N11" s="11">
        <v>5993</v>
      </c>
      <c r="O11" s="2">
        <v>7000</v>
      </c>
      <c r="P11" s="2">
        <v>7000</v>
      </c>
      <c r="Q11" s="2">
        <v>7000</v>
      </c>
      <c r="R11" s="2">
        <v>7000</v>
      </c>
      <c r="S11" s="2">
        <v>7000</v>
      </c>
      <c r="T11" s="75">
        <f>(S11-P11)/P11</f>
        <v>0</v>
      </c>
    </row>
    <row r="12" spans="1:20" ht="12.75">
      <c r="A12" t="s">
        <v>173</v>
      </c>
      <c r="B12" s="4">
        <v>52.2205</v>
      </c>
      <c r="C12" s="2"/>
      <c r="D12" s="2"/>
      <c r="E12" s="2">
        <v>2087</v>
      </c>
      <c r="F12" s="2">
        <v>3168</v>
      </c>
      <c r="G12" s="2">
        <v>4455</v>
      </c>
      <c r="H12" s="2">
        <v>5334</v>
      </c>
      <c r="I12" s="2">
        <f>5088+269</f>
        <v>5357</v>
      </c>
      <c r="J12" s="2">
        <v>5543</v>
      </c>
      <c r="K12" s="2">
        <f>5092+45</f>
        <v>5137</v>
      </c>
      <c r="L12" s="2">
        <v>5521</v>
      </c>
      <c r="M12" s="2">
        <v>6049</v>
      </c>
      <c r="N12" s="11">
        <v>3654</v>
      </c>
      <c r="O12" s="2">
        <v>5500</v>
      </c>
      <c r="P12" s="2">
        <v>5500</v>
      </c>
      <c r="Q12" s="2">
        <v>5500</v>
      </c>
      <c r="R12" s="2">
        <v>5500</v>
      </c>
      <c r="S12" s="2">
        <v>5500</v>
      </c>
      <c r="T12" s="75">
        <f>(S12-P12)/P12</f>
        <v>0</v>
      </c>
    </row>
    <row r="13" spans="1:20" ht="12.75" hidden="1">
      <c r="A13" t="s">
        <v>372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>N13/$N$3*12</f>
        <v>0</v>
      </c>
      <c r="P13" s="2"/>
      <c r="Q13" s="2"/>
      <c r="R13" s="2"/>
      <c r="S13" s="2"/>
      <c r="T13" s="75"/>
    </row>
    <row r="14" spans="1:20" ht="12.75">
      <c r="A14" t="s">
        <v>372</v>
      </c>
      <c r="B14" s="4">
        <v>52.2212</v>
      </c>
      <c r="C14" s="2"/>
      <c r="D14" s="2"/>
      <c r="E14" s="2"/>
      <c r="F14" s="2"/>
      <c r="G14" s="2"/>
      <c r="H14" s="2"/>
      <c r="I14" s="2"/>
      <c r="J14" s="2"/>
      <c r="K14" s="2">
        <v>1330</v>
      </c>
      <c r="L14" s="2"/>
      <c r="M14" s="2"/>
      <c r="N14" s="2"/>
      <c r="O14" s="2">
        <f>N14/$N$3*12</f>
        <v>0</v>
      </c>
      <c r="P14" s="2"/>
      <c r="Q14" s="2"/>
      <c r="R14" s="2"/>
      <c r="S14" s="2"/>
      <c r="T14" s="75"/>
    </row>
    <row r="15" spans="1:20" ht="12.75">
      <c r="A15" t="s">
        <v>745</v>
      </c>
      <c r="B15" s="4"/>
      <c r="C15" s="2"/>
      <c r="D15" s="2"/>
      <c r="E15" s="2"/>
      <c r="F15" s="2"/>
      <c r="G15" s="2"/>
      <c r="H15" s="2"/>
      <c r="I15" s="2"/>
      <c r="J15" s="2"/>
      <c r="K15" s="2">
        <v>2642</v>
      </c>
      <c r="L15" s="2"/>
      <c r="M15" s="2"/>
      <c r="N15" s="2"/>
      <c r="O15" s="2"/>
      <c r="P15" s="2"/>
      <c r="Q15" s="2"/>
      <c r="R15" s="2"/>
      <c r="S15" s="2"/>
      <c r="T15" s="75"/>
    </row>
    <row r="16" spans="1:20" ht="12.75">
      <c r="A16" t="s">
        <v>829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>
        <v>275</v>
      </c>
      <c r="M16" s="2"/>
      <c r="N16" s="2"/>
      <c r="O16" s="2"/>
      <c r="P16" s="2"/>
      <c r="Q16" s="2"/>
      <c r="R16" s="2"/>
      <c r="S16" s="2"/>
      <c r="T16" s="75"/>
    </row>
    <row r="17" spans="1:20" ht="12.75">
      <c r="A17" t="s">
        <v>627</v>
      </c>
      <c r="B17" s="4">
        <v>52.124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0</v>
      </c>
      <c r="O17" s="2"/>
      <c r="P17" s="2"/>
      <c r="Q17" s="2"/>
      <c r="R17" s="2"/>
      <c r="S17" s="2"/>
      <c r="T17" s="75"/>
    </row>
    <row r="18" spans="1:20" ht="12.75">
      <c r="A18" t="s">
        <v>122</v>
      </c>
      <c r="B18" s="4">
        <v>53.12</v>
      </c>
      <c r="C18" s="2">
        <v>32977</v>
      </c>
      <c r="D18" s="2">
        <v>26030</v>
      </c>
      <c r="E18" s="2">
        <v>32224</v>
      </c>
      <c r="F18" s="2">
        <v>32301</v>
      </c>
      <c r="G18" s="2">
        <v>31750</v>
      </c>
      <c r="H18" s="2">
        <v>40375</v>
      </c>
      <c r="I18" s="2">
        <v>37121</v>
      </c>
      <c r="J18" s="2">
        <v>53134</v>
      </c>
      <c r="K18" s="2">
        <v>41518</v>
      </c>
      <c r="L18" s="2">
        <v>44388</v>
      </c>
      <c r="M18" s="2">
        <v>45131</v>
      </c>
      <c r="N18" s="11">
        <v>26524</v>
      </c>
      <c r="O18" s="2">
        <f>N18/$N$3*12</f>
        <v>53048</v>
      </c>
      <c r="P18" s="2">
        <v>43000</v>
      </c>
      <c r="Q18" s="2">
        <v>45000</v>
      </c>
      <c r="R18" s="2">
        <v>45000</v>
      </c>
      <c r="S18" s="2">
        <v>45000</v>
      </c>
      <c r="T18" s="75"/>
    </row>
    <row r="19" spans="1:20" ht="12.75">
      <c r="A19" t="s">
        <v>174</v>
      </c>
      <c r="B19" s="4">
        <v>53.1702</v>
      </c>
      <c r="C19" s="2">
        <v>8638</v>
      </c>
      <c r="D19" s="2">
        <v>5463</v>
      </c>
      <c r="E19" s="2">
        <v>7716</v>
      </c>
      <c r="F19" s="2">
        <v>4896</v>
      </c>
      <c r="G19" s="2">
        <v>5118</v>
      </c>
      <c r="H19" s="2">
        <v>5156</v>
      </c>
      <c r="I19" s="2">
        <v>4485</v>
      </c>
      <c r="J19" s="2">
        <v>5304</v>
      </c>
      <c r="K19" s="2">
        <v>8390</v>
      </c>
      <c r="L19" s="2">
        <v>8320</v>
      </c>
      <c r="M19" s="2">
        <v>6963</v>
      </c>
      <c r="N19" s="11">
        <v>3335</v>
      </c>
      <c r="O19" s="2">
        <f>N19/$N$3*12</f>
        <v>6670</v>
      </c>
      <c r="P19" s="2">
        <v>5500</v>
      </c>
      <c r="Q19" s="2">
        <v>5500</v>
      </c>
      <c r="R19" s="2">
        <v>5500</v>
      </c>
      <c r="S19" s="2">
        <v>5500</v>
      </c>
      <c r="T19" s="75">
        <f>(S19-P19)/P19</f>
        <v>0</v>
      </c>
    </row>
    <row r="20" spans="1:20" ht="12.75">
      <c r="A20" t="s">
        <v>148</v>
      </c>
      <c r="B20" s="4">
        <v>53.1704</v>
      </c>
      <c r="C20" s="2"/>
      <c r="D20" s="2"/>
      <c r="E20" s="2">
        <v>292</v>
      </c>
      <c r="F20" s="2">
        <v>28</v>
      </c>
      <c r="G20" s="2">
        <v>1081</v>
      </c>
      <c r="H20" s="2">
        <v>3</v>
      </c>
      <c r="I20" s="2"/>
      <c r="J20" s="2"/>
      <c r="K20" s="2">
        <v>11</v>
      </c>
      <c r="L20" s="2">
        <v>67</v>
      </c>
      <c r="M20" s="2"/>
      <c r="N20" s="2"/>
      <c r="O20" s="2">
        <f>N20/$N$3*12</f>
        <v>0</v>
      </c>
      <c r="P20" s="2"/>
      <c r="Q20" s="2"/>
      <c r="R20" s="2"/>
      <c r="S20" s="2"/>
      <c r="T20" s="75"/>
    </row>
    <row r="21" spans="1:20" ht="12.75">
      <c r="A21" t="s">
        <v>175</v>
      </c>
      <c r="B21" s="4">
        <v>53.172</v>
      </c>
      <c r="C21" s="2">
        <v>11446</v>
      </c>
      <c r="D21" s="2">
        <v>19057</v>
      </c>
      <c r="E21" s="2">
        <v>6228</v>
      </c>
      <c r="F21" s="2">
        <v>21483</v>
      </c>
      <c r="G21" s="2">
        <v>46610</v>
      </c>
      <c r="H21" s="2">
        <v>42055</v>
      </c>
      <c r="I21" s="2">
        <v>60354</v>
      </c>
      <c r="J21" s="2">
        <v>23129</v>
      </c>
      <c r="K21" s="2">
        <v>33496</v>
      </c>
      <c r="L21" s="2">
        <f>30992+575</f>
        <v>31567</v>
      </c>
      <c r="M21" s="2">
        <v>27886</v>
      </c>
      <c r="N21" s="11">
        <v>8417</v>
      </c>
      <c r="O21" s="2">
        <f>N21/$N$3*12</f>
        <v>16834</v>
      </c>
      <c r="P21" s="2">
        <v>35000</v>
      </c>
      <c r="Q21" s="2">
        <v>35000</v>
      </c>
      <c r="R21" s="2">
        <v>35000</v>
      </c>
      <c r="S21" s="2">
        <v>35000</v>
      </c>
      <c r="T21" s="75">
        <f>(S21-P21)/P21</f>
        <v>0</v>
      </c>
    </row>
    <row r="22" spans="1:20" ht="12.75">
      <c r="A22" t="s">
        <v>644</v>
      </c>
      <c r="B22" s="4"/>
      <c r="C22" s="2"/>
      <c r="D22" s="2"/>
      <c r="E22" s="2"/>
      <c r="F22" s="2"/>
      <c r="G22" s="2"/>
      <c r="H22" s="2"/>
      <c r="I22" s="2">
        <f>8054+194</f>
        <v>8248</v>
      </c>
      <c r="J22" s="2">
        <v>6599</v>
      </c>
      <c r="K22" s="2"/>
      <c r="L22" s="2"/>
      <c r="M22" s="2"/>
      <c r="N22" s="11"/>
      <c r="O22" s="2"/>
      <c r="P22" s="2"/>
      <c r="Q22" s="2"/>
      <c r="R22" s="2"/>
      <c r="S22" s="2"/>
      <c r="T22" s="75"/>
    </row>
    <row r="23" spans="1:20" ht="12.75">
      <c r="A23" t="s">
        <v>599</v>
      </c>
      <c r="B23" s="4"/>
      <c r="C23" s="2"/>
      <c r="D23" s="2"/>
      <c r="E23" s="2"/>
      <c r="F23" s="2"/>
      <c r="G23" s="2"/>
      <c r="H23" s="2"/>
      <c r="I23" s="2">
        <v>40000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79</v>
      </c>
      <c r="B24" s="4">
        <v>53.1732</v>
      </c>
      <c r="C24" s="2"/>
      <c r="D24" s="2"/>
      <c r="E24" s="2"/>
      <c r="F24" s="2"/>
      <c r="G24" s="2"/>
      <c r="H24" s="2"/>
      <c r="I24" s="2"/>
      <c r="J24" s="2">
        <v>7076</v>
      </c>
      <c r="K24" s="2"/>
      <c r="L24" s="2">
        <v>5375</v>
      </c>
      <c r="M24" s="2"/>
      <c r="N24" s="2"/>
      <c r="O24" s="2"/>
      <c r="P24" s="2"/>
      <c r="Q24" s="2"/>
      <c r="R24" s="2"/>
      <c r="S24" s="2"/>
      <c r="T24" s="75"/>
    </row>
    <row r="25" spans="1:20" ht="12.75">
      <c r="A25" t="s">
        <v>80</v>
      </c>
      <c r="B25" s="4">
        <v>53.1733</v>
      </c>
      <c r="C25" s="2"/>
      <c r="D25" s="2"/>
      <c r="E25" s="2"/>
      <c r="F25" s="2"/>
      <c r="G25" s="2"/>
      <c r="H25" s="2"/>
      <c r="I25" s="2"/>
      <c r="J25" s="2">
        <v>8394</v>
      </c>
      <c r="K25" s="2"/>
      <c r="L25" s="2">
        <v>4849</v>
      </c>
      <c r="M25" s="2"/>
      <c r="N25" s="2"/>
      <c r="O25" s="2"/>
      <c r="P25" s="2"/>
      <c r="Q25" s="2"/>
      <c r="R25" s="2"/>
      <c r="S25" s="2"/>
      <c r="T25" s="75"/>
    </row>
    <row r="26" spans="1:20" ht="12.75">
      <c r="A26" t="s">
        <v>680</v>
      </c>
      <c r="B26" s="4"/>
      <c r="C26" s="2"/>
      <c r="D26" s="2"/>
      <c r="E26" s="2"/>
      <c r="F26" s="2"/>
      <c r="G26" s="2"/>
      <c r="H26" s="2"/>
      <c r="I26" s="2"/>
      <c r="J26" s="2">
        <v>3690</v>
      </c>
      <c r="K26" s="2">
        <v>6502</v>
      </c>
      <c r="L26" s="2"/>
      <c r="M26" s="2"/>
      <c r="N26" s="2"/>
      <c r="O26" s="2"/>
      <c r="P26" s="2"/>
      <c r="Q26" s="2"/>
      <c r="R26" s="2"/>
      <c r="S26" s="2"/>
      <c r="T26" s="75"/>
    </row>
    <row r="27" spans="1:20" ht="12.75">
      <c r="A27" t="s">
        <v>155</v>
      </c>
      <c r="B27" s="4"/>
      <c r="C27" s="2"/>
      <c r="D27" s="2"/>
      <c r="E27" s="2"/>
      <c r="F27" s="2"/>
      <c r="G27" s="2"/>
      <c r="H27" s="2"/>
      <c r="I27" s="2"/>
      <c r="J27" s="2"/>
      <c r="K27" s="2">
        <v>588</v>
      </c>
      <c r="L27" s="2"/>
      <c r="M27" s="2"/>
      <c r="N27" s="2"/>
      <c r="O27" s="2"/>
      <c r="P27" s="2"/>
      <c r="Q27" s="2"/>
      <c r="R27" s="2"/>
      <c r="S27" s="2"/>
      <c r="T27" s="75"/>
    </row>
    <row r="28" spans="1:20" ht="12.75">
      <c r="A28" t="s">
        <v>726</v>
      </c>
      <c r="B28" s="4"/>
      <c r="C28" s="2"/>
      <c r="D28" s="2"/>
      <c r="E28" s="2"/>
      <c r="F28" s="2"/>
      <c r="G28" s="2"/>
      <c r="H28" s="2"/>
      <c r="I28" s="2"/>
      <c r="J28" s="2"/>
      <c r="K28" s="2">
        <v>857</v>
      </c>
      <c r="L28" s="2"/>
      <c r="M28" s="2"/>
      <c r="N28" s="2"/>
      <c r="O28" s="2"/>
      <c r="P28" s="2"/>
      <c r="Q28" s="2"/>
      <c r="R28" s="2"/>
      <c r="S28" s="2"/>
      <c r="T28" s="75"/>
    </row>
    <row r="29" spans="2:20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</row>
    <row r="30" spans="1:20" ht="12.75">
      <c r="A30" t="s">
        <v>943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30000</v>
      </c>
      <c r="R30" s="2">
        <v>30000</v>
      </c>
      <c r="S30" s="2"/>
      <c r="T30" s="75"/>
    </row>
    <row r="31" spans="1:21" ht="12.75">
      <c r="A31" t="s">
        <v>739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111828</v>
      </c>
      <c r="N31" s="2"/>
      <c r="O31" s="2"/>
      <c r="P31" s="2"/>
      <c r="Q31" s="2"/>
      <c r="R31" s="2"/>
      <c r="S31" s="2"/>
      <c r="T31" s="75"/>
      <c r="U31" s="6"/>
    </row>
    <row r="32" spans="1:20" ht="12.75">
      <c r="A32" t="s">
        <v>700</v>
      </c>
      <c r="B32" s="4">
        <v>54.11</v>
      </c>
      <c r="C32" s="2"/>
      <c r="D32" s="2"/>
      <c r="E32" s="2"/>
      <c r="F32" s="2">
        <v>265</v>
      </c>
      <c r="G32" s="2">
        <v>66</v>
      </c>
      <c r="H32" s="2"/>
      <c r="I32" s="2"/>
      <c r="J32" s="2">
        <v>105595</v>
      </c>
      <c r="K32" s="2">
        <v>901</v>
      </c>
      <c r="L32" s="2"/>
      <c r="M32" s="2"/>
      <c r="N32" s="2"/>
      <c r="O32" s="2"/>
      <c r="P32" s="2"/>
      <c r="Q32" s="2"/>
      <c r="R32" s="2"/>
      <c r="S32" s="2"/>
      <c r="T32" s="48"/>
    </row>
    <row r="33" spans="1:21" ht="12.75">
      <c r="A33" t="s">
        <v>710</v>
      </c>
      <c r="B33" s="4">
        <v>54.1303</v>
      </c>
      <c r="C33" s="2"/>
      <c r="D33" s="2"/>
      <c r="E33" s="2"/>
      <c r="F33" s="2"/>
      <c r="G33" s="2"/>
      <c r="H33" s="2"/>
      <c r="I33" s="2"/>
      <c r="J33" s="2"/>
      <c r="K33" s="2">
        <v>357098</v>
      </c>
      <c r="L33" s="2"/>
      <c r="M33" s="2"/>
      <c r="N33" s="2"/>
      <c r="O33" s="2"/>
      <c r="P33" s="2"/>
      <c r="Q33" s="2"/>
      <c r="R33" s="2"/>
      <c r="S33" s="2"/>
      <c r="T33" s="48"/>
      <c r="U33" s="6"/>
    </row>
    <row r="34" spans="1:21" ht="12.75">
      <c r="A34" t="s">
        <v>712</v>
      </c>
      <c r="B34" s="4">
        <v>54.1006</v>
      </c>
      <c r="C34" s="2"/>
      <c r="D34" s="2"/>
      <c r="E34" s="2"/>
      <c r="F34" s="2"/>
      <c r="G34" s="2"/>
      <c r="H34" s="2"/>
      <c r="I34" s="2"/>
      <c r="J34" s="2"/>
      <c r="K34" s="2">
        <v>136089</v>
      </c>
      <c r="L34" s="2">
        <v>31582</v>
      </c>
      <c r="M34" s="2"/>
      <c r="N34" s="2">
        <v>0</v>
      </c>
      <c r="O34" s="2"/>
      <c r="P34" s="2"/>
      <c r="Q34" s="2"/>
      <c r="R34" s="2"/>
      <c r="S34" s="2"/>
      <c r="T34" s="48"/>
      <c r="U34" s="6"/>
    </row>
    <row r="35" spans="1:21" ht="12.75">
      <c r="A35" t="s">
        <v>738</v>
      </c>
      <c r="B35" s="4">
        <v>54.1302</v>
      </c>
      <c r="C35" s="2"/>
      <c r="D35" s="2"/>
      <c r="E35" s="2"/>
      <c r="F35" s="2"/>
      <c r="G35" s="2"/>
      <c r="H35" s="2"/>
      <c r="I35" s="2"/>
      <c r="J35" s="2"/>
      <c r="K35" s="2">
        <v>65</v>
      </c>
      <c r="L35" s="2">
        <v>202796</v>
      </c>
      <c r="M35" s="2">
        <v>565608</v>
      </c>
      <c r="N35" s="2">
        <v>-989</v>
      </c>
      <c r="O35" s="2"/>
      <c r="P35" s="2"/>
      <c r="Q35" s="2"/>
      <c r="R35" s="2"/>
      <c r="S35" s="2"/>
      <c r="T35" s="48"/>
      <c r="U35" s="6"/>
    </row>
    <row r="36" spans="1:21" ht="12.75">
      <c r="A36" t="s">
        <v>830</v>
      </c>
      <c r="C36" s="2"/>
      <c r="D36" s="2"/>
      <c r="E36" s="2"/>
      <c r="F36" s="2"/>
      <c r="G36" s="2"/>
      <c r="H36" s="2"/>
      <c r="I36" s="2"/>
      <c r="J36" s="2"/>
      <c r="K36" s="2"/>
      <c r="L36" s="2">
        <v>12511</v>
      </c>
      <c r="M36" s="2"/>
      <c r="N36" s="2"/>
      <c r="O36" s="2"/>
      <c r="P36" s="2"/>
      <c r="Q36" s="2"/>
      <c r="R36" s="2"/>
      <c r="S36" s="2"/>
      <c r="T36" s="48"/>
      <c r="U36" s="6"/>
    </row>
    <row r="37" spans="1:20" ht="12.75" hidden="1">
      <c r="A37" t="s">
        <v>508</v>
      </c>
      <c r="B37" s="4">
        <v>54.25</v>
      </c>
      <c r="C37" s="2"/>
      <c r="D37" s="2"/>
      <c r="E37" s="2"/>
      <c r="F37" s="2"/>
      <c r="G37" s="2"/>
      <c r="H37" s="2">
        <v>12790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8"/>
    </row>
    <row r="38" spans="2:20" ht="12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12.75" hidden="1">
      <c r="A39" t="s">
        <v>534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8"/>
    </row>
    <row r="40" spans="1:20" ht="12.75">
      <c r="A40" s="6" t="s">
        <v>91</v>
      </c>
      <c r="B40" s="6"/>
      <c r="C40" s="8">
        <f>SUM(C9:C21)</f>
        <v>53061</v>
      </c>
      <c r="D40" s="8">
        <f>SUM(D9:D21)</f>
        <v>55005</v>
      </c>
      <c r="E40" s="8">
        <f>SUM(E9:E39)</f>
        <v>58719</v>
      </c>
      <c r="F40" s="8">
        <f>SUM(F9:F39)</f>
        <v>75545</v>
      </c>
      <c r="G40" s="8">
        <f>SUM(G9:G39)</f>
        <v>103572</v>
      </c>
      <c r="H40" s="8">
        <f>SUM(H9:H39)</f>
        <v>113996</v>
      </c>
      <c r="I40" s="8">
        <f>SUM(I9:I39)</f>
        <v>166731</v>
      </c>
      <c r="J40" s="8">
        <v>236975</v>
      </c>
      <c r="K40" s="8">
        <f>SUM(K9:K39)</f>
        <v>606818</v>
      </c>
      <c r="L40" s="8">
        <v>462487</v>
      </c>
      <c r="M40" s="8">
        <v>886770</v>
      </c>
      <c r="N40" s="8">
        <f>SUM(N7:N39)</f>
        <v>48915</v>
      </c>
      <c r="O40" s="8">
        <f>SUM(O7:O39)</f>
        <v>96452</v>
      </c>
      <c r="P40" s="8">
        <f>SUM(P9:P39)</f>
        <v>103400</v>
      </c>
      <c r="Q40" s="8">
        <f>SUM(Q9:Q39)</f>
        <v>135400</v>
      </c>
      <c r="R40" s="8">
        <f>SUM(R9:R39)</f>
        <v>135400</v>
      </c>
      <c r="S40" s="8">
        <f>SUM(S9:S39)</f>
        <v>105400</v>
      </c>
      <c r="T40" s="49">
        <f>(S40-P40)/P40</f>
        <v>0.019342359767891684</v>
      </c>
    </row>
    <row r="41" spans="3:2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8"/>
    </row>
    <row r="42" spans="2:20" ht="12.75">
      <c r="B42" s="1"/>
      <c r="D42" s="32" t="s">
        <v>325</v>
      </c>
      <c r="E42" s="32" t="s">
        <v>326</v>
      </c>
      <c r="F42" t="s">
        <v>371</v>
      </c>
      <c r="N42" s="32"/>
      <c r="O42" s="2"/>
      <c r="P42" s="20" t="s">
        <v>445</v>
      </c>
      <c r="Q42" s="20"/>
      <c r="R42" s="52">
        <f>Q40-R40</f>
        <v>0</v>
      </c>
      <c r="S42" s="2"/>
      <c r="T42" s="48"/>
    </row>
    <row r="43" spans="1:20" ht="12.75">
      <c r="A43" s="15"/>
      <c r="B43" s="1"/>
      <c r="D43" s="1" t="s">
        <v>327</v>
      </c>
      <c r="E43" s="1" t="s">
        <v>327</v>
      </c>
      <c r="N43" s="1"/>
      <c r="P43" s="20" t="s">
        <v>668</v>
      </c>
      <c r="Q43" s="20"/>
      <c r="R43" s="52">
        <f>P40-R40</f>
        <v>-32000</v>
      </c>
      <c r="T43" s="48"/>
    </row>
    <row r="44" spans="1:20" ht="12.75">
      <c r="A44" s="15"/>
      <c r="B44" s="1"/>
      <c r="D44" s="1" t="s">
        <v>327</v>
      </c>
      <c r="E44" s="1" t="s">
        <v>327</v>
      </c>
      <c r="N44" s="1"/>
      <c r="P44" s="20" t="s">
        <v>397</v>
      </c>
      <c r="Q44" s="20"/>
      <c r="R44" s="52">
        <f>R40-S40</f>
        <v>30000</v>
      </c>
      <c r="T44" s="48"/>
    </row>
    <row r="45" spans="1:20" ht="12.75">
      <c r="A45" s="15"/>
      <c r="B45" s="1"/>
      <c r="D45" s="1" t="s">
        <v>327</v>
      </c>
      <c r="E45" s="1" t="s">
        <v>327</v>
      </c>
      <c r="F45" s="1" t="s">
        <v>327</v>
      </c>
      <c r="G45" s="1"/>
      <c r="H45" s="1"/>
      <c r="I45" s="1"/>
      <c r="J45" s="1"/>
      <c r="K45" s="1"/>
      <c r="L45" s="1"/>
      <c r="M45" s="1"/>
      <c r="T45" s="48"/>
    </row>
    <row r="46" spans="1:20" ht="12.75">
      <c r="A46" s="15"/>
      <c r="B46" s="1"/>
      <c r="D46" s="1" t="s">
        <v>327</v>
      </c>
      <c r="E46" s="1" t="s">
        <v>327</v>
      </c>
      <c r="P46" s="1"/>
      <c r="T46" s="48"/>
    </row>
    <row r="47" spans="1:20" ht="12.75">
      <c r="A47" s="15"/>
      <c r="B47" s="1"/>
      <c r="D47" s="1" t="s">
        <v>327</v>
      </c>
      <c r="E47" s="1" t="s">
        <v>327</v>
      </c>
      <c r="F47" s="1" t="s">
        <v>327</v>
      </c>
      <c r="G47" s="1"/>
      <c r="H47" s="1"/>
      <c r="I47" s="1"/>
      <c r="J47" s="1"/>
      <c r="K47" s="1"/>
      <c r="L47" s="32"/>
      <c r="M47" s="32"/>
      <c r="T47" s="48"/>
    </row>
    <row r="48" spans="1:20" ht="12.75">
      <c r="A48" s="15"/>
      <c r="B48" s="1"/>
      <c r="D48" s="1" t="s">
        <v>327</v>
      </c>
      <c r="E48" s="1" t="s">
        <v>503</v>
      </c>
      <c r="T48" s="48"/>
    </row>
    <row r="49" spans="1:20" ht="12.75">
      <c r="A49" s="15"/>
      <c r="B49" s="1"/>
      <c r="D49" s="1" t="s">
        <v>327</v>
      </c>
      <c r="E49" s="1" t="s">
        <v>327</v>
      </c>
      <c r="T49" s="48"/>
    </row>
    <row r="50" spans="1:20" ht="12.75">
      <c r="A50" s="15"/>
      <c r="B50" s="1"/>
      <c r="D50" s="1" t="s">
        <v>327</v>
      </c>
      <c r="E50" s="1" t="s">
        <v>327</v>
      </c>
      <c r="S50" s="4"/>
      <c r="T50" s="133"/>
    </row>
    <row r="51" spans="1:20" ht="12.75">
      <c r="A51" s="15"/>
      <c r="B51" s="1"/>
      <c r="D51" s="1" t="s">
        <v>327</v>
      </c>
      <c r="E51" s="1" t="s">
        <v>327</v>
      </c>
      <c r="S51" s="4"/>
      <c r="T51" s="133"/>
    </row>
    <row r="52" spans="1:20" ht="12.75">
      <c r="A52" s="15"/>
      <c r="B52" s="1"/>
      <c r="D52" s="1" t="s">
        <v>327</v>
      </c>
      <c r="E52" s="1" t="s">
        <v>327</v>
      </c>
      <c r="N52" s="1"/>
      <c r="T52" s="48"/>
    </row>
    <row r="53" spans="1:20" ht="12.75">
      <c r="A53" s="15"/>
      <c r="B53" s="1"/>
      <c r="D53" s="1" t="s">
        <v>327</v>
      </c>
      <c r="E53" s="1"/>
      <c r="T53" s="48"/>
    </row>
    <row r="54" spans="1:20" ht="12.75">
      <c r="A54" s="15"/>
      <c r="B54" s="1"/>
      <c r="D54" s="1" t="s">
        <v>327</v>
      </c>
      <c r="E54" s="1"/>
      <c r="T54" s="48"/>
    </row>
    <row r="55" spans="1:20" ht="12.75">
      <c r="A55" s="15"/>
      <c r="B55" s="1"/>
      <c r="D55" s="1" t="s">
        <v>327</v>
      </c>
      <c r="E55" s="1" t="s">
        <v>327</v>
      </c>
      <c r="T55" s="48"/>
    </row>
    <row r="56" ht="12.75">
      <c r="T56" s="48"/>
    </row>
    <row r="57" spans="1:20" ht="12.75">
      <c r="A57" s="15"/>
      <c r="T57" s="48"/>
    </row>
    <row r="58" ht="12.75">
      <c r="T58" s="48"/>
    </row>
    <row r="59" spans="1:20" ht="12.75">
      <c r="A59" s="15"/>
      <c r="T59" s="48"/>
    </row>
    <row r="61" ht="12.75">
      <c r="T61" s="56"/>
    </row>
    <row r="62" ht="12.75">
      <c r="A62" s="15"/>
    </row>
    <row r="94" ht="12.75">
      <c r="T94" s="2"/>
    </row>
    <row r="95" ht="12.75">
      <c r="T95" s="2"/>
    </row>
    <row r="96" ht="12.75">
      <c r="T96" s="2"/>
    </row>
    <row r="97" ht="12.75">
      <c r="T97" s="2"/>
    </row>
    <row r="98" ht="12.75">
      <c r="T98" s="2"/>
    </row>
    <row r="99" ht="12.75">
      <c r="T99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10" width="6.8515625" style="0" hidden="1" customWidth="1"/>
    <col min="11" max="13" width="6.8515625" style="0" customWidth="1"/>
    <col min="14" max="14" width="7.00390625" style="0" bestFit="1" customWidth="1"/>
    <col min="15" max="15" width="9.7109375" style="0" bestFit="1" customWidth="1"/>
    <col min="16" max="16" width="11.7109375" style="0" customWidth="1"/>
    <col min="17" max="17" width="9.421875" style="0" customWidth="1"/>
    <col min="18" max="18" width="9.00390625" style="0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411</v>
      </c>
      <c r="N3" s="53">
        <v>6</v>
      </c>
      <c r="O3" s="9"/>
      <c r="T3" s="1" t="s">
        <v>399</v>
      </c>
    </row>
    <row r="4" spans="4:20" ht="12.75"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410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3:20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8"/>
    </row>
    <row r="8" spans="1:20" ht="12.75">
      <c r="A8" t="s">
        <v>487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3295</v>
      </c>
      <c r="N8" s="2">
        <v>3295</v>
      </c>
      <c r="O8" s="2">
        <v>3300</v>
      </c>
      <c r="P8" s="2">
        <v>3300</v>
      </c>
      <c r="Q8" s="2">
        <v>3300</v>
      </c>
      <c r="R8" s="2">
        <v>3300</v>
      </c>
      <c r="S8" s="2">
        <v>3300</v>
      </c>
      <c r="T8" s="75">
        <f>(S8-P8)/P8</f>
        <v>0</v>
      </c>
    </row>
    <row r="9" spans="1:21" ht="12.75" hidden="1">
      <c r="A9" t="s">
        <v>177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>
        <v>0</v>
      </c>
      <c r="O9" s="2"/>
      <c r="P9" s="2"/>
      <c r="Q9" s="2"/>
      <c r="R9" s="2"/>
      <c r="S9" s="2"/>
      <c r="T9" s="75"/>
      <c r="U9" t="s">
        <v>338</v>
      </c>
    </row>
    <row r="10" spans="1:20" ht="12.75">
      <c r="A10" t="s">
        <v>694</v>
      </c>
      <c r="B10" s="4">
        <v>52.3612</v>
      </c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2">
        <v>450</v>
      </c>
      <c r="S10" s="2">
        <v>450</v>
      </c>
      <c r="T10" s="75"/>
    </row>
    <row r="11" spans="1:20" ht="12.75">
      <c r="A11" t="s">
        <v>551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/>
      <c r="N11" s="2">
        <v>1000</v>
      </c>
      <c r="O11" s="2">
        <v>1000</v>
      </c>
      <c r="P11" s="2">
        <v>1000</v>
      </c>
      <c r="Q11" s="2">
        <v>500</v>
      </c>
      <c r="R11" s="2">
        <v>500</v>
      </c>
      <c r="S11" s="2">
        <v>500</v>
      </c>
      <c r="T11" s="75">
        <f>(S11-P11)/P11</f>
        <v>-0.5</v>
      </c>
    </row>
    <row r="12" spans="3:20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8"/>
    </row>
    <row r="13" spans="1:20" ht="12.75">
      <c r="A13" s="6" t="s">
        <v>91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S13">SUM(K8:K11)</f>
        <v>3945</v>
      </c>
      <c r="L13" s="8">
        <v>4245</v>
      </c>
      <c r="M13" s="8">
        <v>3745</v>
      </c>
      <c r="N13" s="8">
        <f t="shared" si="0"/>
        <v>4745</v>
      </c>
      <c r="O13" s="8">
        <f t="shared" si="0"/>
        <v>4750</v>
      </c>
      <c r="P13" s="8">
        <f t="shared" si="0"/>
        <v>4750</v>
      </c>
      <c r="Q13" s="8">
        <f t="shared" si="0"/>
        <v>4250</v>
      </c>
      <c r="R13" s="8">
        <f t="shared" si="0"/>
        <v>4250</v>
      </c>
      <c r="S13" s="8">
        <f t="shared" si="0"/>
        <v>4250</v>
      </c>
      <c r="T13" s="49">
        <f>(S13-P13)/P13</f>
        <v>-0.10526315789473684</v>
      </c>
    </row>
    <row r="14" spans="3:20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8"/>
    </row>
    <row r="15" spans="3:20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0" t="s">
        <v>445</v>
      </c>
      <c r="Q15" s="20"/>
      <c r="R15" s="52">
        <f>Q13-R13</f>
        <v>0</v>
      </c>
      <c r="S15" s="2"/>
      <c r="T15" s="48"/>
    </row>
    <row r="16" spans="12:20" ht="12.75">
      <c r="L16" s="2"/>
      <c r="M16" s="2"/>
      <c r="P16" s="20" t="s">
        <v>668</v>
      </c>
      <c r="Q16" s="20"/>
      <c r="R16" s="52">
        <f>P13-R13</f>
        <v>500</v>
      </c>
      <c r="T16" s="48"/>
    </row>
    <row r="17" spans="16:20" ht="12.75">
      <c r="P17" s="20" t="s">
        <v>397</v>
      </c>
      <c r="Q17" s="20"/>
      <c r="R17" s="52">
        <f>R13-S13</f>
        <v>0</v>
      </c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1" ht="12.75">
      <c r="T41" s="56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V42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0" width="8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710937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5" ht="12.75">
      <c r="A2" t="s">
        <v>82</v>
      </c>
      <c r="K2" s="136"/>
      <c r="L2" s="136"/>
      <c r="M2" s="136"/>
      <c r="N2" s="136"/>
      <c r="O2" s="136"/>
    </row>
    <row r="3" spans="1:20" ht="12.75">
      <c r="A3" s="6" t="s">
        <v>412</v>
      </c>
      <c r="N3" s="53">
        <v>7</v>
      </c>
      <c r="O3" s="9"/>
      <c r="T3" s="1" t="s">
        <v>399</v>
      </c>
    </row>
    <row r="4" spans="4:20" ht="12.75"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410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2:20" ht="12.75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48"/>
    </row>
    <row r="8" spans="1:20" ht="12.75">
      <c r="A8" t="s">
        <v>179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21082.59</v>
      </c>
      <c r="M8" s="2">
        <v>23860</v>
      </c>
      <c r="N8" s="2">
        <v>13644</v>
      </c>
      <c r="O8" s="2">
        <f>+N8/$N$3*12</f>
        <v>23389.714285714286</v>
      </c>
      <c r="P8" s="2">
        <v>25000</v>
      </c>
      <c r="Q8" s="28">
        <v>25000</v>
      </c>
      <c r="R8" s="28">
        <v>24465.74</v>
      </c>
      <c r="S8" s="28">
        <v>24465.74</v>
      </c>
      <c r="T8" s="75">
        <f>(S8-P8)/P8</f>
        <v>-0.021370399999999935</v>
      </c>
    </row>
    <row r="9" spans="1:20" ht="12.75">
      <c r="A9" t="s">
        <v>113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5422.07</v>
      </c>
      <c r="M9" s="2">
        <v>5467</v>
      </c>
      <c r="N9" s="2">
        <v>3242</v>
      </c>
      <c r="O9" s="2">
        <f>+N9/$N$3*12</f>
        <v>5557.714285714286</v>
      </c>
      <c r="P9" s="2">
        <v>6732</v>
      </c>
      <c r="Q9" s="2">
        <f>(Q8+Q18+Q12)*0.0765</f>
        <v>6885</v>
      </c>
      <c r="R9" s="2">
        <f>(R8+R18+R12)*0.0765</f>
        <v>6767.62911</v>
      </c>
      <c r="S9" s="2">
        <f>(S8+S18+S12)*0.0765</f>
        <v>6767.62911</v>
      </c>
      <c r="T9" s="75">
        <f>(S9-P9)/P9</f>
        <v>0.005292499999999979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368</v>
      </c>
      <c r="B11" s="4">
        <v>52.125</v>
      </c>
      <c r="C11" s="2"/>
      <c r="E11" s="2">
        <v>25545</v>
      </c>
      <c r="F11" s="2">
        <v>47748</v>
      </c>
      <c r="G11" s="2">
        <v>26553</v>
      </c>
      <c r="H11" s="2">
        <v>27929</v>
      </c>
      <c r="I11" s="2">
        <f>1093+18599</f>
        <v>19692</v>
      </c>
      <c r="J11" s="2">
        <v>20546</v>
      </c>
      <c r="K11" s="2">
        <v>15645</v>
      </c>
      <c r="L11" s="2">
        <f>20939+1454</f>
        <v>22393</v>
      </c>
      <c r="M11" s="2">
        <v>44437</v>
      </c>
      <c r="N11" s="2">
        <v>22890</v>
      </c>
      <c r="O11" s="2">
        <f>+N11/$N$3*12</f>
        <v>39240</v>
      </c>
      <c r="P11" s="2">
        <v>20000</v>
      </c>
      <c r="Q11" s="2">
        <v>25000</v>
      </c>
      <c r="R11" s="2">
        <v>25000</v>
      </c>
      <c r="S11" s="2">
        <v>25000</v>
      </c>
      <c r="T11" s="75">
        <f>(S11-P11)/P11</f>
        <v>0.25</v>
      </c>
    </row>
    <row r="12" spans="1:20" ht="12.75">
      <c r="A12" t="s">
        <v>181</v>
      </c>
      <c r="B12" s="4">
        <v>52.132</v>
      </c>
      <c r="C12" s="2">
        <v>23422</v>
      </c>
      <c r="D12" s="2">
        <v>28619</v>
      </c>
      <c r="E12" s="2">
        <v>38628</v>
      </c>
      <c r="F12" s="2">
        <v>29130</v>
      </c>
      <c r="G12" s="2">
        <v>31963</v>
      </c>
      <c r="H12" s="2">
        <v>37861</v>
      </c>
      <c r="I12" s="2">
        <v>39051</v>
      </c>
      <c r="J12" s="2">
        <v>38765</v>
      </c>
      <c r="K12" s="2">
        <f>38793+29</f>
        <v>38822</v>
      </c>
      <c r="L12" s="2">
        <f>45608+1272</f>
        <v>46880</v>
      </c>
      <c r="M12" s="2">
        <v>46205</v>
      </c>
      <c r="N12" s="2">
        <v>22840</v>
      </c>
      <c r="O12" s="2">
        <f>+N12/$N$3*12</f>
        <v>39154.28571428571</v>
      </c>
      <c r="P12" s="2">
        <v>39000</v>
      </c>
      <c r="Q12" s="2">
        <v>40000</v>
      </c>
      <c r="R12" s="2">
        <v>39000</v>
      </c>
      <c r="S12" s="2">
        <v>39000</v>
      </c>
      <c r="T12" s="75"/>
    </row>
    <row r="13" spans="1:20" ht="12.75">
      <c r="A13" t="s">
        <v>182</v>
      </c>
      <c r="B13" s="4">
        <v>52.2204</v>
      </c>
      <c r="C13" s="2">
        <v>499</v>
      </c>
      <c r="D13" s="2">
        <v>594</v>
      </c>
      <c r="E13" s="2">
        <v>552</v>
      </c>
      <c r="F13" s="2">
        <v>588</v>
      </c>
      <c r="G13" s="2"/>
      <c r="H13" s="2"/>
      <c r="I13" s="2"/>
      <c r="J13" s="2"/>
      <c r="K13" s="2"/>
      <c r="L13" s="2"/>
      <c r="M13" s="2"/>
      <c r="N13" s="2"/>
      <c r="O13" s="19">
        <v>600</v>
      </c>
      <c r="P13" s="19">
        <v>600</v>
      </c>
      <c r="Q13" s="19">
        <v>732</v>
      </c>
      <c r="R13" s="19">
        <v>732</v>
      </c>
      <c r="S13" s="19">
        <v>732</v>
      </c>
      <c r="T13" s="75"/>
    </row>
    <row r="14" spans="1:20" ht="12.75">
      <c r="A14" t="s">
        <v>115</v>
      </c>
      <c r="B14" s="4">
        <v>52.32</v>
      </c>
      <c r="C14" s="2">
        <v>4690</v>
      </c>
      <c r="D14" s="2">
        <v>3752</v>
      </c>
      <c r="E14" s="2">
        <v>4631</v>
      </c>
      <c r="F14" s="2">
        <v>4206</v>
      </c>
      <c r="G14" s="2">
        <v>4326</v>
      </c>
      <c r="H14" s="2">
        <v>4327</v>
      </c>
      <c r="I14" s="2">
        <v>4413</v>
      </c>
      <c r="J14" s="2">
        <v>4603</v>
      </c>
      <c r="K14" s="2">
        <v>4465</v>
      </c>
      <c r="L14" s="2">
        <v>4008</v>
      </c>
      <c r="M14" s="2">
        <v>3785</v>
      </c>
      <c r="N14" s="2">
        <v>2591</v>
      </c>
      <c r="O14" s="2">
        <f aca="true" t="shared" si="0" ref="O14:O19">+N14/$N$3*12</f>
        <v>4441.714285714286</v>
      </c>
      <c r="P14" s="2">
        <v>4000</v>
      </c>
      <c r="Q14" s="2">
        <v>4000</v>
      </c>
      <c r="R14" s="2">
        <v>4000</v>
      </c>
      <c r="S14" s="2">
        <v>4000</v>
      </c>
      <c r="T14" s="75">
        <f>(S14-P14)/P14</f>
        <v>0</v>
      </c>
    </row>
    <row r="15" spans="1:20" ht="12.75">
      <c r="A15" t="s">
        <v>116</v>
      </c>
      <c r="B15" s="4">
        <v>52.321</v>
      </c>
      <c r="C15" s="2">
        <v>617</v>
      </c>
      <c r="D15" s="2">
        <v>785</v>
      </c>
      <c r="E15" s="2">
        <v>1016</v>
      </c>
      <c r="F15" s="2">
        <v>821</v>
      </c>
      <c r="G15" s="2">
        <v>823</v>
      </c>
      <c r="H15" s="2">
        <v>649</v>
      </c>
      <c r="I15" s="2">
        <v>453</v>
      </c>
      <c r="J15" s="2">
        <v>705</v>
      </c>
      <c r="K15" s="2">
        <v>442</v>
      </c>
      <c r="L15" s="2">
        <v>420</v>
      </c>
      <c r="M15" s="2">
        <v>194</v>
      </c>
      <c r="N15" s="2">
        <v>110</v>
      </c>
      <c r="O15" s="2">
        <v>450</v>
      </c>
      <c r="P15" s="2">
        <v>450</v>
      </c>
      <c r="Q15" s="2">
        <v>500</v>
      </c>
      <c r="R15" s="2">
        <v>300</v>
      </c>
      <c r="S15" s="2">
        <v>300</v>
      </c>
      <c r="T15" s="75">
        <f>(S15-P15)/P15</f>
        <v>-0.3333333333333333</v>
      </c>
    </row>
    <row r="16" spans="1:22" ht="12.75">
      <c r="A16" t="s">
        <v>128</v>
      </c>
      <c r="B16" s="4">
        <v>52.35</v>
      </c>
      <c r="C16" s="2">
        <v>162</v>
      </c>
      <c r="D16" s="2">
        <v>155</v>
      </c>
      <c r="E16" s="2"/>
      <c r="F16" s="2"/>
      <c r="G16" s="2"/>
      <c r="H16" s="2"/>
      <c r="I16" s="2">
        <v>731</v>
      </c>
      <c r="J16" s="2">
        <v>493</v>
      </c>
      <c r="K16" s="2">
        <v>312</v>
      </c>
      <c r="L16" s="2">
        <v>145</v>
      </c>
      <c r="M16" s="2">
        <v>371</v>
      </c>
      <c r="N16" s="2">
        <v>103</v>
      </c>
      <c r="O16" s="2">
        <v>110</v>
      </c>
      <c r="P16" s="2">
        <v>200</v>
      </c>
      <c r="Q16" s="2">
        <v>500</v>
      </c>
      <c r="R16" s="2">
        <v>200</v>
      </c>
      <c r="S16" s="2">
        <v>200</v>
      </c>
      <c r="T16" s="75">
        <f>(S16-P16)/P16</f>
        <v>0</v>
      </c>
      <c r="V16" s="2"/>
    </row>
    <row r="17" spans="1:20" ht="12.75">
      <c r="A17" t="s">
        <v>118</v>
      </c>
      <c r="B17" s="4">
        <v>52.36</v>
      </c>
      <c r="C17" s="2">
        <v>115</v>
      </c>
      <c r="D17" s="2">
        <v>680</v>
      </c>
      <c r="E17" s="2">
        <v>325</v>
      </c>
      <c r="F17" s="2">
        <v>375</v>
      </c>
      <c r="G17" s="2">
        <v>390</v>
      </c>
      <c r="H17" s="2">
        <v>408</v>
      </c>
      <c r="I17" s="2">
        <v>453</v>
      </c>
      <c r="J17" s="2">
        <v>365</v>
      </c>
      <c r="K17" s="2">
        <v>425</v>
      </c>
      <c r="L17" s="2">
        <v>316</v>
      </c>
      <c r="M17" s="2"/>
      <c r="N17" s="2">
        <v>0</v>
      </c>
      <c r="O17" s="2"/>
      <c r="P17" s="2">
        <v>375</v>
      </c>
      <c r="Q17" s="2"/>
      <c r="R17" s="2"/>
      <c r="S17" s="2"/>
      <c r="T17" s="75">
        <f>(S17-P17)/P17</f>
        <v>-1</v>
      </c>
    </row>
    <row r="18" spans="1:20" ht="12.75">
      <c r="A18" t="s">
        <v>183</v>
      </c>
      <c r="B18" s="4">
        <v>52.3601</v>
      </c>
      <c r="C18" s="2"/>
      <c r="D18" s="2"/>
      <c r="E18" s="2">
        <v>16590</v>
      </c>
      <c r="F18" s="2">
        <v>18480</v>
      </c>
      <c r="G18" s="2">
        <v>16980</v>
      </c>
      <c r="H18" s="2">
        <v>17460</v>
      </c>
      <c r="I18" s="2">
        <v>23535</v>
      </c>
      <c r="J18" s="2">
        <v>29480</v>
      </c>
      <c r="K18" s="2">
        <v>26845</v>
      </c>
      <c r="L18" s="2">
        <v>23920</v>
      </c>
      <c r="M18" s="2">
        <v>23985</v>
      </c>
      <c r="N18" s="2">
        <v>13975</v>
      </c>
      <c r="O18" s="2">
        <f t="shared" si="0"/>
        <v>23957.142857142855</v>
      </c>
      <c r="P18" s="2">
        <v>24000</v>
      </c>
      <c r="Q18" s="2">
        <v>25000</v>
      </c>
      <c r="R18" s="2">
        <v>25000</v>
      </c>
      <c r="S18" s="2">
        <v>25000</v>
      </c>
      <c r="T18" s="75">
        <f>(S18-P18)/P18</f>
        <v>0.041666666666666664</v>
      </c>
    </row>
    <row r="19" spans="1:20" ht="12.75">
      <c r="A19" t="s">
        <v>369</v>
      </c>
      <c r="B19" s="4">
        <v>52.37</v>
      </c>
      <c r="C19" s="2"/>
      <c r="D19" s="2"/>
      <c r="E19" s="2"/>
      <c r="F19" s="2">
        <v>40</v>
      </c>
      <c r="G19" s="2">
        <v>150</v>
      </c>
      <c r="H19" s="2">
        <v>354</v>
      </c>
      <c r="I19" s="2"/>
      <c r="J19" s="2"/>
      <c r="K19" s="2"/>
      <c r="L19" s="2"/>
      <c r="M19" s="2"/>
      <c r="N19" s="2"/>
      <c r="O19" s="2">
        <f t="shared" si="0"/>
        <v>0</v>
      </c>
      <c r="P19" s="2"/>
      <c r="Q19" s="2"/>
      <c r="R19" s="2"/>
      <c r="S19" s="2"/>
      <c r="T19" s="75"/>
    </row>
    <row r="20" spans="1:21" ht="12.75">
      <c r="A20" t="s">
        <v>64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1100</v>
      </c>
      <c r="R20" s="2">
        <v>1100</v>
      </c>
      <c r="S20" s="2">
        <v>1100</v>
      </c>
      <c r="T20" s="75"/>
      <c r="U20" s="19" t="s">
        <v>463</v>
      </c>
    </row>
    <row r="21" spans="1:21" ht="12.75">
      <c r="A21" t="s">
        <v>964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9">
        <v>732</v>
      </c>
      <c r="R21" s="19">
        <v>732</v>
      </c>
      <c r="S21" s="19">
        <v>732</v>
      </c>
      <c r="T21" s="75"/>
      <c r="U21" s="19"/>
    </row>
    <row r="22" spans="1:20" ht="12.75">
      <c r="A22" t="s">
        <v>831</v>
      </c>
      <c r="B22" s="4">
        <v>53.1737</v>
      </c>
      <c r="C22" s="2"/>
      <c r="D22" s="2"/>
      <c r="E22" s="2"/>
      <c r="F22" s="2"/>
      <c r="G22" s="2"/>
      <c r="H22" s="2"/>
      <c r="I22" s="2"/>
      <c r="J22" s="2"/>
      <c r="K22" s="2"/>
      <c r="L22" s="2">
        <v>167</v>
      </c>
      <c r="M22" s="2"/>
      <c r="N22" s="2"/>
      <c r="O22" s="2"/>
      <c r="P22" s="2"/>
      <c r="Q22" s="2"/>
      <c r="R22" s="2"/>
      <c r="S22" s="2"/>
      <c r="T22" s="75"/>
    </row>
    <row r="23" spans="1:20" ht="12.75">
      <c r="A23" t="s">
        <v>57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>
        <v>50</v>
      </c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655</v>
      </c>
      <c r="B24" s="4">
        <v>52.13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0</v>
      </c>
      <c r="O24" s="2"/>
      <c r="P24" s="2"/>
      <c r="Q24" s="2"/>
      <c r="R24" s="2"/>
      <c r="S24" s="2"/>
      <c r="T24" s="75"/>
    </row>
    <row r="25" spans="1:20" ht="12.75">
      <c r="A25" t="s">
        <v>123</v>
      </c>
      <c r="B25" s="4">
        <v>53.171</v>
      </c>
      <c r="C25" s="2">
        <v>1273</v>
      </c>
      <c r="D25" s="2">
        <v>1502</v>
      </c>
      <c r="E25" s="2">
        <v>2093</v>
      </c>
      <c r="F25" s="2">
        <v>1792</v>
      </c>
      <c r="G25" s="2">
        <v>534</v>
      </c>
      <c r="H25" s="2">
        <v>1087</v>
      </c>
      <c r="I25" s="2">
        <v>1171</v>
      </c>
      <c r="J25" s="2">
        <v>470</v>
      </c>
      <c r="K25" s="2">
        <v>2173</v>
      </c>
      <c r="L25" s="2">
        <v>674</v>
      </c>
      <c r="M25" s="2">
        <v>363</v>
      </c>
      <c r="N25" s="2">
        <v>600</v>
      </c>
      <c r="O25" s="2">
        <f>+N25/$N$3*12</f>
        <v>1028.5714285714284</v>
      </c>
      <c r="P25" s="2">
        <v>700</v>
      </c>
      <c r="Q25" s="2">
        <v>1000</v>
      </c>
      <c r="R25" s="2">
        <v>1000</v>
      </c>
      <c r="S25" s="2">
        <v>1000</v>
      </c>
      <c r="T25" s="75">
        <f>(S25-P25)/P25</f>
        <v>0.42857142857142855</v>
      </c>
    </row>
    <row r="26" spans="1:21" ht="12.75">
      <c r="A26" t="s">
        <v>615</v>
      </c>
      <c r="B26" s="4">
        <v>57.108</v>
      </c>
      <c r="C26" s="2"/>
      <c r="D26" s="2"/>
      <c r="E26" s="2"/>
      <c r="F26" s="2"/>
      <c r="G26" s="2"/>
      <c r="H26" s="2">
        <v>1509</v>
      </c>
      <c r="I26" s="2">
        <v>1690</v>
      </c>
      <c r="J26" s="2">
        <v>2005</v>
      </c>
      <c r="K26" s="2">
        <v>1465</v>
      </c>
      <c r="L26" s="2">
        <v>1495</v>
      </c>
      <c r="M26" s="2">
        <v>1479</v>
      </c>
      <c r="N26" s="2"/>
      <c r="O26" s="2"/>
      <c r="P26" s="2"/>
      <c r="Q26" s="2"/>
      <c r="R26" s="2"/>
      <c r="S26" s="2"/>
      <c r="T26" s="48"/>
      <c r="U26" t="s">
        <v>338</v>
      </c>
    </row>
    <row r="27" spans="1:20" ht="12.75">
      <c r="A27" s="6" t="s">
        <v>91</v>
      </c>
      <c r="B27" s="6"/>
      <c r="C27" s="8">
        <f>SUM(C7:C25)</f>
        <v>45517</v>
      </c>
      <c r="D27" s="8">
        <f>SUM(D7:D25)</f>
        <v>59773</v>
      </c>
      <c r="E27" s="8">
        <f>SUM(E8:E26)</f>
        <v>123167</v>
      </c>
      <c r="F27" s="8">
        <f>SUM(F7:F26)</f>
        <v>120603</v>
      </c>
      <c r="G27" s="8">
        <f>SUM(G7:G26)</f>
        <v>98891</v>
      </c>
      <c r="H27" s="8">
        <f>SUM(H7:H26)</f>
        <v>109895</v>
      </c>
      <c r="I27" s="8">
        <f>SUM(I7:I26)</f>
        <v>115279</v>
      </c>
      <c r="J27" s="8">
        <v>124035</v>
      </c>
      <c r="K27" s="8">
        <f aca="true" t="shared" si="1" ref="K27:S27">SUM(K8:K26)</f>
        <v>116502</v>
      </c>
      <c r="L27" s="8">
        <v>126972</v>
      </c>
      <c r="M27" s="8">
        <v>178942</v>
      </c>
      <c r="N27" s="8">
        <f>SUM(N8:N26)</f>
        <v>79995</v>
      </c>
      <c r="O27" s="8">
        <f>SUM(O8:O26)</f>
        <v>137929.14285714284</v>
      </c>
      <c r="P27" s="8">
        <f t="shared" si="1"/>
        <v>121057</v>
      </c>
      <c r="Q27" s="8">
        <f t="shared" si="1"/>
        <v>130449</v>
      </c>
      <c r="R27" s="8">
        <f t="shared" si="1"/>
        <v>128297.36911</v>
      </c>
      <c r="S27" s="8">
        <f t="shared" si="1"/>
        <v>128297.36911</v>
      </c>
      <c r="T27" s="49">
        <f>(S27-P27)/P27</f>
        <v>0.05980958647579239</v>
      </c>
    </row>
    <row r="28" spans="3:20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8"/>
    </row>
    <row r="29" spans="3:20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0" t="s">
        <v>445</v>
      </c>
      <c r="Q29" s="20"/>
      <c r="R29" s="52">
        <f>Q27-R27</f>
        <v>2151.6308900000004</v>
      </c>
      <c r="S29" s="2"/>
      <c r="T29" s="48"/>
    </row>
    <row r="30" spans="16:20" ht="12.75">
      <c r="P30" s="20" t="s">
        <v>668</v>
      </c>
      <c r="Q30" s="20"/>
      <c r="R30" s="52">
        <f>P27-R27</f>
        <v>-7240.36911</v>
      </c>
      <c r="T30" s="48"/>
    </row>
    <row r="31" spans="1:20" ht="12.75">
      <c r="A31" s="30" t="s">
        <v>924</v>
      </c>
      <c r="P31" s="20" t="s">
        <v>397</v>
      </c>
      <c r="Q31" s="20"/>
      <c r="R31" s="52">
        <f>R27-S27</f>
        <v>0</v>
      </c>
      <c r="T31" s="48"/>
    </row>
    <row r="32" spans="1:20" ht="12.75">
      <c r="A32" t="s">
        <v>953</v>
      </c>
      <c r="T32" s="48"/>
    </row>
    <row r="33" ht="12.75">
      <c r="A33" s="30" t="s">
        <v>966</v>
      </c>
    </row>
    <row r="37" ht="12.75">
      <c r="T37" s="2"/>
    </row>
    <row r="38" ht="12.75">
      <c r="T38" s="2"/>
    </row>
    <row r="39" ht="12.75">
      <c r="T39" s="2"/>
    </row>
    <row r="40" ht="12.75">
      <c r="T40" s="2"/>
    </row>
    <row r="41" ht="12.75">
      <c r="T41" s="2"/>
    </row>
    <row r="42" ht="12.75">
      <c r="T42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V73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11.7109375" style="0" hidden="1" customWidth="1"/>
    <col min="11" max="14" width="11.7109375" style="0" customWidth="1"/>
    <col min="15" max="15" width="13.421875" style="0" bestFit="1" customWidth="1"/>
    <col min="16" max="18" width="11.7109375" style="0" customWidth="1"/>
    <col min="19" max="19" width="11.0039062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3" ht="12.75">
      <c r="A2" t="s">
        <v>82</v>
      </c>
      <c r="K2" s="136"/>
      <c r="L2" s="136"/>
      <c r="M2" s="136"/>
    </row>
    <row r="3" spans="1:20" ht="12.75">
      <c r="A3" s="6" t="s">
        <v>413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1" ht="12.75">
      <c r="A7" s="20" t="s">
        <v>604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214136</v>
      </c>
      <c r="M7" s="2">
        <v>187531</v>
      </c>
      <c r="N7" s="2">
        <v>89674</v>
      </c>
      <c r="O7" s="2">
        <f>+N7/$N$3*12</f>
        <v>179348</v>
      </c>
      <c r="P7" s="2">
        <v>177060</v>
      </c>
      <c r="Q7" s="2">
        <v>168718</v>
      </c>
      <c r="R7" s="2">
        <v>168717.72</v>
      </c>
      <c r="S7" s="2">
        <v>168717.72</v>
      </c>
      <c r="T7" s="75">
        <f>(S7-P7)/P7</f>
        <v>-0.04711555404947475</v>
      </c>
      <c r="U7" t="s">
        <v>531</v>
      </c>
    </row>
    <row r="8" spans="1:22" ht="12.75">
      <c r="A8" t="s">
        <v>566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6277</v>
      </c>
      <c r="M8" s="2"/>
      <c r="N8" s="2"/>
      <c r="O8" s="2"/>
      <c r="P8" s="2"/>
      <c r="Q8" s="2"/>
      <c r="R8" s="2"/>
      <c r="S8" s="2"/>
      <c r="T8" s="75" t="e">
        <f>(S8-P8)/P8</f>
        <v>#DIV/0!</v>
      </c>
      <c r="V8" s="138"/>
    </row>
    <row r="9" spans="1:20" ht="12.75">
      <c r="A9" t="s">
        <v>448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20544</v>
      </c>
      <c r="M9" s="2">
        <v>18292</v>
      </c>
      <c r="N9" s="2">
        <v>10276</v>
      </c>
      <c r="O9" s="2">
        <f>+N9/$N$3*12</f>
        <v>20552</v>
      </c>
      <c r="P9" s="28">
        <v>24600</v>
      </c>
      <c r="Q9" s="28">
        <v>24800</v>
      </c>
      <c r="R9" s="28">
        <f>5*4960</f>
        <v>24800</v>
      </c>
      <c r="S9" s="28">
        <v>24800</v>
      </c>
      <c r="T9" s="75">
        <f>(S9-P9)/P9</f>
        <v>0.008130081300813009</v>
      </c>
    </row>
    <row r="10" spans="1:20" ht="12.75">
      <c r="A10" t="s">
        <v>113</v>
      </c>
      <c r="B10" s="4">
        <v>51.22</v>
      </c>
      <c r="C10" s="2">
        <v>8785</v>
      </c>
      <c r="D10" s="2">
        <v>9535</v>
      </c>
      <c r="E10" s="2">
        <v>10222</v>
      </c>
      <c r="F10" s="2">
        <v>11658</v>
      </c>
      <c r="G10" s="2">
        <v>11910</v>
      </c>
      <c r="H10" s="2">
        <v>12562</v>
      </c>
      <c r="I10" s="2">
        <v>14740</v>
      </c>
      <c r="J10" s="2">
        <v>14183</v>
      </c>
      <c r="K10" s="2">
        <v>15243</v>
      </c>
      <c r="L10" s="2">
        <v>16344.22</v>
      </c>
      <c r="M10" s="2">
        <v>13479</v>
      </c>
      <c r="N10" s="2">
        <v>6464</v>
      </c>
      <c r="O10" s="2">
        <f>+N10/$N$3*12</f>
        <v>12928</v>
      </c>
      <c r="P10" s="2">
        <v>13713.399179999999</v>
      </c>
      <c r="Q10" s="2">
        <f>(Q7+Q8)*0.0765</f>
        <v>12906.927</v>
      </c>
      <c r="R10" s="2">
        <f>(R7+R8)*0.0765</f>
        <v>12906.90558</v>
      </c>
      <c r="S10" s="2">
        <f>(S7+S8)*0.0765</f>
        <v>12906.90558</v>
      </c>
      <c r="T10" s="75">
        <f>(S10-P10)/P10</f>
        <v>-0.05881062670269313</v>
      </c>
    </row>
    <row r="11" spans="1:20" ht="12.75">
      <c r="A11" t="s">
        <v>185</v>
      </c>
      <c r="B11" s="4">
        <v>51.24</v>
      </c>
      <c r="C11" s="2">
        <v>2668</v>
      </c>
      <c r="D11" s="2">
        <v>2682</v>
      </c>
      <c r="E11" s="2">
        <v>2803</v>
      </c>
      <c r="F11" s="2">
        <v>3188</v>
      </c>
      <c r="G11" s="2">
        <v>3262</v>
      </c>
      <c r="H11" s="2">
        <v>3298</v>
      </c>
      <c r="I11" s="2">
        <v>3863</v>
      </c>
      <c r="J11" s="2">
        <v>4334</v>
      </c>
      <c r="K11" s="2">
        <v>4722</v>
      </c>
      <c r="L11" s="2">
        <v>4926</v>
      </c>
      <c r="M11" s="2">
        <v>1569</v>
      </c>
      <c r="N11" s="2">
        <v>871</v>
      </c>
      <c r="O11" s="2">
        <v>2000</v>
      </c>
      <c r="P11" s="19">
        <v>2000</v>
      </c>
      <c r="Q11" s="2">
        <v>1600</v>
      </c>
      <c r="R11" s="19">
        <v>1600</v>
      </c>
      <c r="S11" s="19">
        <v>1600</v>
      </c>
      <c r="T11" s="75">
        <f>(S11-P11)/P11</f>
        <v>-0.2</v>
      </c>
    </row>
    <row r="12" spans="1:21" ht="12.75">
      <c r="A12" t="s">
        <v>126</v>
      </c>
      <c r="B12" s="4"/>
      <c r="C12" s="2"/>
      <c r="D12" s="2"/>
      <c r="E12" s="2"/>
      <c r="F12" s="2"/>
      <c r="G12" s="2"/>
      <c r="H12" s="2"/>
      <c r="I12" s="2"/>
      <c r="J12" s="2">
        <v>570</v>
      </c>
      <c r="K12" s="2">
        <v>121</v>
      </c>
      <c r="L12" s="2"/>
      <c r="M12" s="2"/>
      <c r="N12" s="2"/>
      <c r="O12" s="2"/>
      <c r="P12" s="19"/>
      <c r="Q12" s="2"/>
      <c r="R12" s="19"/>
      <c r="S12" s="19"/>
      <c r="T12" s="75"/>
      <c r="U12" s="18"/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  <c r="Q13" s="2"/>
      <c r="R13" s="19"/>
      <c r="S13" s="19"/>
      <c r="T13" s="75"/>
      <c r="U13" s="18"/>
    </row>
    <row r="14" spans="1:21" ht="12.75">
      <c r="A14" t="s">
        <v>670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2549</v>
      </c>
      <c r="N14" s="2"/>
      <c r="O14" s="2"/>
      <c r="P14" s="19"/>
      <c r="Q14" s="2"/>
      <c r="R14" s="19"/>
      <c r="S14" s="19"/>
      <c r="T14" s="75"/>
      <c r="U14" s="18"/>
    </row>
    <row r="15" spans="1:21" ht="12.75">
      <c r="A15" t="s">
        <v>72</v>
      </c>
      <c r="B15" s="4">
        <v>52.1252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998</v>
      </c>
      <c r="N15" s="2">
        <v>0</v>
      </c>
      <c r="O15" s="2"/>
      <c r="P15" s="19"/>
      <c r="Q15" s="2"/>
      <c r="R15" s="19"/>
      <c r="S15" s="19"/>
      <c r="T15" s="75"/>
      <c r="U15" s="18"/>
    </row>
    <row r="16" spans="1:21" ht="12.75">
      <c r="A16" t="s">
        <v>180</v>
      </c>
      <c r="B16" s="4">
        <v>52.121</v>
      </c>
      <c r="C16" s="2"/>
      <c r="D16" s="2"/>
      <c r="E16" s="2"/>
      <c r="F16" s="2"/>
      <c r="G16" s="2"/>
      <c r="H16" s="2"/>
      <c r="I16" s="2">
        <f>95+134</f>
        <v>229</v>
      </c>
      <c r="J16" s="2">
        <v>747</v>
      </c>
      <c r="K16" s="2">
        <v>157</v>
      </c>
      <c r="L16" s="2"/>
      <c r="M16" s="2"/>
      <c r="N16" s="2"/>
      <c r="O16" s="2">
        <f>+N16/$N$3*12</f>
        <v>0</v>
      </c>
      <c r="P16" s="19"/>
      <c r="Q16" s="2">
        <v>1000</v>
      </c>
      <c r="R16" s="19"/>
      <c r="S16" s="19"/>
      <c r="T16" s="75"/>
      <c r="U16" s="18"/>
    </row>
    <row r="17" spans="1:21" ht="12.75">
      <c r="A17" t="s">
        <v>186</v>
      </c>
      <c r="B17" s="4">
        <v>52.1315</v>
      </c>
      <c r="C17" s="2"/>
      <c r="D17" s="2"/>
      <c r="E17" s="2">
        <v>1976</v>
      </c>
      <c r="F17" s="2">
        <v>2756</v>
      </c>
      <c r="G17" s="2">
        <v>2755</v>
      </c>
      <c r="H17" s="2">
        <v>2350</v>
      </c>
      <c r="I17" s="2">
        <v>2838</v>
      </c>
      <c r="J17" s="2">
        <v>2033</v>
      </c>
      <c r="K17" s="2">
        <v>4772</v>
      </c>
      <c r="L17" s="2">
        <v>2768</v>
      </c>
      <c r="M17" s="2">
        <v>3120</v>
      </c>
      <c r="N17" s="2">
        <v>1500</v>
      </c>
      <c r="O17" s="2">
        <f>+N17/$N$3*12</f>
        <v>3000</v>
      </c>
      <c r="P17" s="2">
        <v>2500</v>
      </c>
      <c r="Q17" s="2">
        <v>2500</v>
      </c>
      <c r="R17" s="2">
        <v>2500</v>
      </c>
      <c r="S17" s="2">
        <v>2500</v>
      </c>
      <c r="T17" s="75">
        <f>(S17-P17)/P17</f>
        <v>0</v>
      </c>
      <c r="U17" s="2"/>
    </row>
    <row r="18" spans="1:20" ht="12.75">
      <c r="A18" t="s">
        <v>56</v>
      </c>
      <c r="B18" s="4">
        <v>52.1316</v>
      </c>
      <c r="C18" s="2">
        <v>6133</v>
      </c>
      <c r="D18" s="2">
        <v>5869</v>
      </c>
      <c r="E18" s="2">
        <v>2355</v>
      </c>
      <c r="F18" s="2">
        <v>1478</v>
      </c>
      <c r="G18" s="2">
        <v>1592</v>
      </c>
      <c r="H18" s="2">
        <v>2614</v>
      </c>
      <c r="I18" s="2">
        <v>2445</v>
      </c>
      <c r="J18" s="2">
        <v>2687</v>
      </c>
      <c r="K18" s="2">
        <v>1386</v>
      </c>
      <c r="L18" s="2">
        <v>1546</v>
      </c>
      <c r="M18" s="2">
        <v>2063</v>
      </c>
      <c r="N18" s="2">
        <v>758</v>
      </c>
      <c r="O18" s="2">
        <f>+N18/$N$3*12</f>
        <v>1516</v>
      </c>
      <c r="P18" s="2">
        <v>1500</v>
      </c>
      <c r="Q18" s="2">
        <v>2100</v>
      </c>
      <c r="R18" s="2">
        <v>1500</v>
      </c>
      <c r="S18" s="2">
        <v>1500</v>
      </c>
      <c r="T18" s="75">
        <f>(S18-P18)/P18</f>
        <v>0</v>
      </c>
    </row>
    <row r="19" spans="1:20" ht="12.75">
      <c r="A19" t="s">
        <v>589</v>
      </c>
      <c r="B19" s="4">
        <v>52.2202</v>
      </c>
      <c r="C19" s="2"/>
      <c r="D19" s="2"/>
      <c r="E19" s="2">
        <v>223</v>
      </c>
      <c r="F19" s="2">
        <v>1146</v>
      </c>
      <c r="G19" s="2">
        <v>782</v>
      </c>
      <c r="H19" s="2">
        <v>960</v>
      </c>
      <c r="I19" s="2">
        <v>944</v>
      </c>
      <c r="J19" s="2">
        <f>1048+315</f>
        <v>1363</v>
      </c>
      <c r="K19" s="2">
        <v>1943</v>
      </c>
      <c r="L19" s="2">
        <v>2993</v>
      </c>
      <c r="M19" s="2">
        <v>1200</v>
      </c>
      <c r="N19" s="2">
        <v>1200</v>
      </c>
      <c r="O19" s="2">
        <v>1200</v>
      </c>
      <c r="P19" s="2">
        <v>1200</v>
      </c>
      <c r="Q19" s="2">
        <v>2400</v>
      </c>
      <c r="R19" s="2">
        <v>1200</v>
      </c>
      <c r="S19" s="2">
        <v>1200</v>
      </c>
      <c r="T19" s="75">
        <f>(S19-P19)/P19</f>
        <v>0</v>
      </c>
    </row>
    <row r="20" spans="1:20" ht="12.75">
      <c r="A20" t="s">
        <v>855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5"/>
    </row>
    <row r="21" spans="1:21" ht="12.75">
      <c r="A21" t="s">
        <v>899</v>
      </c>
      <c r="B21" s="4">
        <v>52.1332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0</v>
      </c>
      <c r="N21" s="2">
        <v>0</v>
      </c>
      <c r="O21" s="2">
        <v>2200</v>
      </c>
      <c r="P21" s="2">
        <v>2200</v>
      </c>
      <c r="Q21" s="2"/>
      <c r="R21" s="2"/>
      <c r="S21" s="2"/>
      <c r="T21" s="75"/>
      <c r="U21" s="19"/>
    </row>
    <row r="22" spans="1:21" ht="12.75">
      <c r="A22" t="s">
        <v>675</v>
      </c>
      <c r="B22" s="4">
        <v>52.2312</v>
      </c>
      <c r="C22" s="2"/>
      <c r="D22" s="2"/>
      <c r="E22" s="2"/>
      <c r="F22" s="2"/>
      <c r="G22" s="2"/>
      <c r="H22" s="2"/>
      <c r="I22" s="2"/>
      <c r="J22" s="2">
        <v>400</v>
      </c>
      <c r="K22" s="2">
        <v>1300</v>
      </c>
      <c r="L22" s="2"/>
      <c r="M22" s="2">
        <v>1100</v>
      </c>
      <c r="N22" s="2">
        <v>801</v>
      </c>
      <c r="O22" s="2">
        <v>1200</v>
      </c>
      <c r="P22" s="2">
        <v>1200</v>
      </c>
      <c r="Q22" s="2">
        <v>1200</v>
      </c>
      <c r="R22" s="2">
        <v>1200</v>
      </c>
      <c r="S22" s="2">
        <v>1200</v>
      </c>
      <c r="T22" s="75"/>
      <c r="U22" s="19"/>
    </row>
    <row r="23" spans="1:20" ht="12.75">
      <c r="A23" t="s">
        <v>115</v>
      </c>
      <c r="B23" s="4">
        <v>52.32</v>
      </c>
      <c r="C23" s="2">
        <v>2889</v>
      </c>
      <c r="D23" s="2">
        <v>2671</v>
      </c>
      <c r="E23" s="2">
        <v>2414</v>
      </c>
      <c r="F23" s="2">
        <v>3021</v>
      </c>
      <c r="G23" s="2">
        <v>2284</v>
      </c>
      <c r="H23" s="2">
        <v>2401</v>
      </c>
      <c r="I23" s="2">
        <v>4100</v>
      </c>
      <c r="J23" s="2">
        <v>4470</v>
      </c>
      <c r="K23" s="2">
        <v>3356</v>
      </c>
      <c r="L23" s="2">
        <v>3684</v>
      </c>
      <c r="M23" s="2">
        <v>3283</v>
      </c>
      <c r="N23" s="2">
        <v>1924</v>
      </c>
      <c r="O23" s="2">
        <f>+N23/$N$3*12</f>
        <v>3848</v>
      </c>
      <c r="P23" s="2">
        <v>2900</v>
      </c>
      <c r="Q23" s="2">
        <v>2900</v>
      </c>
      <c r="R23" s="2">
        <v>2900</v>
      </c>
      <c r="S23" s="2">
        <v>2900</v>
      </c>
      <c r="T23" s="75">
        <f>(S23-P23)/P23</f>
        <v>0</v>
      </c>
    </row>
    <row r="24" spans="1:20" ht="12.75">
      <c r="A24" t="s">
        <v>116</v>
      </c>
      <c r="B24" s="4">
        <v>52.321</v>
      </c>
      <c r="C24" s="2">
        <v>2929</v>
      </c>
      <c r="D24" s="2">
        <v>2132</v>
      </c>
      <c r="E24" s="2">
        <v>2027</v>
      </c>
      <c r="F24" s="2">
        <v>2074</v>
      </c>
      <c r="G24" s="2">
        <v>2499</v>
      </c>
      <c r="H24" s="2">
        <v>2551</v>
      </c>
      <c r="I24" s="2">
        <v>2495</v>
      </c>
      <c r="J24" s="2">
        <v>2848</v>
      </c>
      <c r="K24" s="2">
        <f>3120+127</f>
        <v>3247</v>
      </c>
      <c r="L24" s="2">
        <f>2954+319</f>
        <v>3273</v>
      </c>
      <c r="M24" s="2">
        <v>3092</v>
      </c>
      <c r="N24" s="2">
        <v>2269</v>
      </c>
      <c r="O24" s="2">
        <f>+N24/$N$3*12</f>
        <v>4538</v>
      </c>
      <c r="P24" s="2">
        <v>2850</v>
      </c>
      <c r="Q24" s="2">
        <v>3500</v>
      </c>
      <c r="R24" s="2">
        <v>3500</v>
      </c>
      <c r="S24" s="2">
        <v>3500</v>
      </c>
      <c r="T24" s="75">
        <f>(S24-P24)/P24</f>
        <v>0.22807017543859648</v>
      </c>
    </row>
    <row r="25" spans="1:20" ht="12.75" hidden="1">
      <c r="A25" t="s">
        <v>854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5"/>
    </row>
    <row r="26" spans="1:20" ht="12.75">
      <c r="A26" t="s">
        <v>128</v>
      </c>
      <c r="B26" s="4">
        <v>52.35</v>
      </c>
      <c r="C26" s="2">
        <v>1300</v>
      </c>
      <c r="D26" s="2">
        <v>1698</v>
      </c>
      <c r="E26" s="2">
        <v>1635</v>
      </c>
      <c r="F26" s="2">
        <v>1716</v>
      </c>
      <c r="G26" s="2">
        <v>1819</v>
      </c>
      <c r="H26" s="2">
        <v>1667</v>
      </c>
      <c r="I26" s="2">
        <v>2456</v>
      </c>
      <c r="J26" s="2">
        <v>2002</v>
      </c>
      <c r="K26" s="2">
        <v>2105</v>
      </c>
      <c r="L26" s="2">
        <v>2208</v>
      </c>
      <c r="M26" s="2">
        <v>1514</v>
      </c>
      <c r="N26" s="2">
        <v>212</v>
      </c>
      <c r="O26" s="2">
        <v>1500</v>
      </c>
      <c r="P26" s="2">
        <v>1550</v>
      </c>
      <c r="Q26" s="2">
        <v>1500</v>
      </c>
      <c r="R26" s="2">
        <v>1500</v>
      </c>
      <c r="S26" s="2">
        <v>1500</v>
      </c>
      <c r="T26" s="75">
        <f>(S26-P26)/P26</f>
        <v>-0.03225806451612903</v>
      </c>
    </row>
    <row r="27" spans="1:20" ht="12.75">
      <c r="A27" t="s">
        <v>47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1000</v>
      </c>
      <c r="N27" s="2"/>
      <c r="O27" s="2"/>
      <c r="P27" s="2"/>
      <c r="Q27" s="2"/>
      <c r="R27" s="2"/>
      <c r="S27" s="2"/>
      <c r="T27" s="75"/>
    </row>
    <row r="28" spans="1:20" ht="12.75">
      <c r="A28" t="s">
        <v>187</v>
      </c>
      <c r="B28" s="4">
        <v>52.3602</v>
      </c>
      <c r="C28" s="2">
        <v>550</v>
      </c>
      <c r="D28" s="2">
        <v>375</v>
      </c>
      <c r="E28" s="2">
        <v>380</v>
      </c>
      <c r="F28" s="2">
        <v>415</v>
      </c>
      <c r="G28" s="2">
        <v>415</v>
      </c>
      <c r="H28" s="2">
        <v>250</v>
      </c>
      <c r="I28" s="2">
        <v>330</v>
      </c>
      <c r="J28" s="2">
        <v>350</v>
      </c>
      <c r="K28" s="2">
        <v>350</v>
      </c>
      <c r="L28" s="2">
        <v>350</v>
      </c>
      <c r="M28" s="2">
        <v>100</v>
      </c>
      <c r="N28" s="2">
        <v>350</v>
      </c>
      <c r="O28" s="2">
        <v>350</v>
      </c>
      <c r="P28" s="2">
        <v>350</v>
      </c>
      <c r="Q28" s="19">
        <v>350</v>
      </c>
      <c r="R28" s="2">
        <v>350</v>
      </c>
      <c r="S28" s="2">
        <v>350</v>
      </c>
      <c r="T28" s="75">
        <f>(S28-P28)/P28</f>
        <v>0</v>
      </c>
    </row>
    <row r="29" spans="1:20" ht="12.75">
      <c r="A29" t="s">
        <v>674</v>
      </c>
      <c r="B29" s="4">
        <v>52.37</v>
      </c>
      <c r="C29" s="2"/>
      <c r="D29" s="2"/>
      <c r="E29" s="2"/>
      <c r="F29" s="2"/>
      <c r="G29" s="2"/>
      <c r="H29" s="2"/>
      <c r="I29" s="2"/>
      <c r="J29" s="2"/>
      <c r="K29" s="2">
        <v>300</v>
      </c>
      <c r="L29" s="2">
        <v>300</v>
      </c>
      <c r="M29" s="2">
        <v>35</v>
      </c>
      <c r="N29" s="2">
        <v>0</v>
      </c>
      <c r="O29" s="2">
        <v>300</v>
      </c>
      <c r="P29" s="2">
        <v>285</v>
      </c>
      <c r="Q29" s="2">
        <v>300</v>
      </c>
      <c r="R29" s="2">
        <v>300</v>
      </c>
      <c r="S29" s="2">
        <v>300</v>
      </c>
      <c r="T29" s="75"/>
    </row>
    <row r="30" spans="1:21" ht="12.75">
      <c r="A30" t="s">
        <v>123</v>
      </c>
      <c r="B30" s="4">
        <v>53.171</v>
      </c>
      <c r="C30" s="2">
        <v>13174</v>
      </c>
      <c r="D30" s="2">
        <v>10837</v>
      </c>
      <c r="E30" s="2">
        <v>9536</v>
      </c>
      <c r="F30" s="2">
        <v>9916</v>
      </c>
      <c r="G30" s="2">
        <v>14151</v>
      </c>
      <c r="H30" s="2">
        <v>13161</v>
      </c>
      <c r="I30" s="2">
        <v>14175</v>
      </c>
      <c r="J30" s="2">
        <v>13126</v>
      </c>
      <c r="K30" s="2">
        <v>14274</v>
      </c>
      <c r="L30" s="2">
        <f>9986+2176</f>
        <v>12162</v>
      </c>
      <c r="M30" s="2">
        <v>15611</v>
      </c>
      <c r="N30" s="2">
        <v>10654</v>
      </c>
      <c r="O30" s="2">
        <f>+N30/$N$3*12</f>
        <v>21308</v>
      </c>
      <c r="P30" s="2">
        <v>12350</v>
      </c>
      <c r="Q30" s="2">
        <v>13350</v>
      </c>
      <c r="R30" s="2">
        <v>13350</v>
      </c>
      <c r="S30" s="2">
        <v>13350</v>
      </c>
      <c r="T30" s="75">
        <f>(S30-P30)/P30</f>
        <v>0.08097165991902834</v>
      </c>
      <c r="U30" s="2"/>
    </row>
    <row r="31" spans="1:21" ht="12.75">
      <c r="A31" t="s">
        <v>520</v>
      </c>
      <c r="B31" s="4">
        <v>53.16</v>
      </c>
      <c r="C31" s="2"/>
      <c r="D31" s="2"/>
      <c r="E31" s="2"/>
      <c r="F31" s="2"/>
      <c r="G31" s="2"/>
      <c r="H31" s="2">
        <v>1500</v>
      </c>
      <c r="I31" s="2"/>
      <c r="J31" s="2"/>
      <c r="K31" s="2">
        <v>5348</v>
      </c>
      <c r="L31" s="2"/>
      <c r="M31" s="2"/>
      <c r="N31" s="2"/>
      <c r="O31" s="2"/>
      <c r="P31" s="2"/>
      <c r="Q31" s="2"/>
      <c r="R31" s="2"/>
      <c r="S31" s="2"/>
      <c r="T31" s="75"/>
      <c r="U31" s="19"/>
    </row>
    <row r="32" spans="1:21" ht="12.75">
      <c r="A32" t="s">
        <v>833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>
        <v>292</v>
      </c>
      <c r="M32" s="2"/>
      <c r="N32" s="2"/>
      <c r="O32" s="2"/>
      <c r="P32" s="2"/>
      <c r="Q32" s="2"/>
      <c r="R32" s="2"/>
      <c r="S32" s="2"/>
      <c r="T32" s="75"/>
      <c r="U32" s="19"/>
    </row>
    <row r="33" spans="1:21" ht="12.75">
      <c r="A33" t="s">
        <v>64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1100</v>
      </c>
      <c r="P33" s="2">
        <v>1100</v>
      </c>
      <c r="Q33" s="2"/>
      <c r="R33" s="2"/>
      <c r="S33" s="2"/>
      <c r="T33" s="75"/>
      <c r="U33" s="19" t="s">
        <v>526</v>
      </c>
    </row>
    <row r="34" spans="1:21" ht="12.75">
      <c r="A34" t="s">
        <v>73</v>
      </c>
      <c r="B34" s="4">
        <v>53.1745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635</v>
      </c>
      <c r="N34" s="2">
        <v>0</v>
      </c>
      <c r="O34" s="2"/>
      <c r="P34" s="2"/>
      <c r="Q34" s="2">
        <v>13000</v>
      </c>
      <c r="R34" s="2">
        <v>13000</v>
      </c>
      <c r="S34" s="2">
        <f>R34/2</f>
        <v>6500</v>
      </c>
      <c r="T34" s="48"/>
      <c r="U34" t="s">
        <v>463</v>
      </c>
    </row>
    <row r="35" spans="1:20" ht="12.75">
      <c r="A35" t="s">
        <v>509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1020</v>
      </c>
      <c r="N35" s="2"/>
      <c r="O35" s="2"/>
      <c r="P35" s="2"/>
      <c r="Q35" s="2"/>
      <c r="R35" s="2"/>
      <c r="S35" s="2"/>
      <c r="T35" s="48"/>
    </row>
    <row r="36" spans="1:20" ht="12.75">
      <c r="A36" t="s">
        <v>74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1295</v>
      </c>
      <c r="N36" s="2"/>
      <c r="O36" s="2"/>
      <c r="P36" s="2"/>
      <c r="Q36" s="2"/>
      <c r="R36" s="2"/>
      <c r="S36" s="2"/>
      <c r="T36" s="48"/>
    </row>
    <row r="37" spans="1:21" ht="12.75">
      <c r="A37" t="s">
        <v>856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2500</v>
      </c>
      <c r="P37" s="2">
        <v>2500</v>
      </c>
      <c r="Q37" s="2">
        <v>2500</v>
      </c>
      <c r="R37" s="2">
        <v>2500</v>
      </c>
      <c r="S37" s="2">
        <v>2500</v>
      </c>
      <c r="T37" s="48"/>
      <c r="U37" t="s">
        <v>464</v>
      </c>
    </row>
    <row r="38" spans="1:20" ht="12.75">
      <c r="A38" t="s">
        <v>138</v>
      </c>
      <c r="B38" s="4">
        <v>54.23</v>
      </c>
      <c r="C38" s="2"/>
      <c r="D38" s="2"/>
      <c r="E38" s="2"/>
      <c r="F38" s="2"/>
      <c r="G38" s="2"/>
      <c r="H38" s="2"/>
      <c r="I38" s="2">
        <v>670</v>
      </c>
      <c r="J38" s="2"/>
      <c r="K38" s="2"/>
      <c r="L38" s="2"/>
      <c r="M38" s="2"/>
      <c r="N38" s="2">
        <v>0</v>
      </c>
      <c r="O38" s="2"/>
      <c r="P38" s="2"/>
      <c r="Q38" s="2"/>
      <c r="R38" s="2"/>
      <c r="S38" s="2"/>
      <c r="T38" s="48"/>
    </row>
    <row r="39" spans="1:21" ht="12.75">
      <c r="A39" t="s">
        <v>138</v>
      </c>
      <c r="B39" s="4">
        <v>54.25</v>
      </c>
      <c r="C39" s="5"/>
      <c r="D39" s="5"/>
      <c r="E39" s="5"/>
      <c r="F39" s="2">
        <v>240</v>
      </c>
      <c r="G39" s="2">
        <v>699</v>
      </c>
      <c r="H39" s="2">
        <v>1010</v>
      </c>
      <c r="I39" s="2">
        <v>11384</v>
      </c>
      <c r="J39" s="2">
        <v>9557</v>
      </c>
      <c r="K39" s="2"/>
      <c r="L39" s="2"/>
      <c r="M39" s="2"/>
      <c r="N39" s="2"/>
      <c r="O39" s="2"/>
      <c r="P39" s="2"/>
      <c r="Q39" s="19"/>
      <c r="R39" s="2"/>
      <c r="S39" s="2"/>
      <c r="T39" s="48"/>
      <c r="U39" s="30"/>
    </row>
    <row r="40" spans="1:20" ht="12.75">
      <c r="A40" t="s">
        <v>289</v>
      </c>
      <c r="B40" s="4" t="s">
        <v>92</v>
      </c>
      <c r="C40" s="5">
        <v>695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/>
      <c r="P40" s="2"/>
      <c r="Q40" s="5"/>
      <c r="R40" s="2"/>
      <c r="S40" s="2"/>
      <c r="T40" s="48"/>
    </row>
    <row r="41" spans="1:21" ht="12.75">
      <c r="A41" t="s">
        <v>898</v>
      </c>
      <c r="B41" s="4">
        <v>54.23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0</v>
      </c>
      <c r="O41" s="2"/>
      <c r="P41" s="2"/>
      <c r="Q41" s="2">
        <v>3000</v>
      </c>
      <c r="R41" s="2">
        <v>3000</v>
      </c>
      <c r="S41" s="2">
        <v>3000</v>
      </c>
      <c r="T41" s="48"/>
      <c r="U41" t="s">
        <v>463</v>
      </c>
    </row>
    <row r="42" spans="1:20" ht="12.75">
      <c r="A42" t="s">
        <v>346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8"/>
    </row>
    <row r="43" spans="1:20" ht="12.75">
      <c r="A43" s="6" t="s">
        <v>91</v>
      </c>
      <c r="B43" s="6"/>
      <c r="C43" s="8">
        <f aca="true" t="shared" si="0" ref="C43:I43">SUM(C7:C42)</f>
        <v>173152</v>
      </c>
      <c r="D43" s="8">
        <f t="shared" si="0"/>
        <v>177817</v>
      </c>
      <c r="E43" s="8">
        <f t="shared" si="0"/>
        <v>186967</v>
      </c>
      <c r="F43" s="8">
        <f t="shared" si="0"/>
        <v>207253</v>
      </c>
      <c r="G43" s="8">
        <f t="shared" si="0"/>
        <v>218027</v>
      </c>
      <c r="H43" s="8">
        <f t="shared" si="0"/>
        <v>231072</v>
      </c>
      <c r="I43" s="8">
        <f t="shared" si="0"/>
        <v>278540</v>
      </c>
      <c r="J43" s="8">
        <v>270720</v>
      </c>
      <c r="K43" s="8">
        <f aca="true" t="shared" si="1" ref="K43:S43">SUM(K7:K42)</f>
        <v>286151</v>
      </c>
      <c r="L43" s="8">
        <v>295695</v>
      </c>
      <c r="M43" s="8">
        <v>259486</v>
      </c>
      <c r="N43" s="8">
        <f t="shared" si="1"/>
        <v>126953</v>
      </c>
      <c r="O43" s="8">
        <f t="shared" si="1"/>
        <v>259388</v>
      </c>
      <c r="P43" s="8">
        <f t="shared" si="1"/>
        <v>249858.39918</v>
      </c>
      <c r="Q43" s="8">
        <f t="shared" si="1"/>
        <v>257624.927</v>
      </c>
      <c r="R43" s="8">
        <f t="shared" si="1"/>
        <v>254824.62558</v>
      </c>
      <c r="S43" s="8">
        <f t="shared" si="1"/>
        <v>248324.62558</v>
      </c>
      <c r="T43" s="49">
        <f>(S43-P43)/P43</f>
        <v>-0.006138571306922815</v>
      </c>
    </row>
    <row r="44" spans="3:19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t="s">
        <v>304</v>
      </c>
      <c r="B45">
        <v>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0" t="s">
        <v>445</v>
      </c>
      <c r="Q45" s="20"/>
      <c r="R45" s="52">
        <f>Q43-R43</f>
        <v>2800.3014200000034</v>
      </c>
      <c r="S45" s="2"/>
    </row>
    <row r="46" spans="16:18" ht="12.75">
      <c r="P46" s="20" t="s">
        <v>668</v>
      </c>
      <c r="Q46" s="20"/>
      <c r="R46" s="52">
        <f>P43-R43</f>
        <v>-4966.226399999985</v>
      </c>
    </row>
    <row r="47" spans="16:18" ht="12.75">
      <c r="P47" s="20" t="s">
        <v>397</v>
      </c>
      <c r="Q47" s="20"/>
      <c r="R47" s="52">
        <f>R43-S43</f>
        <v>6500</v>
      </c>
    </row>
    <row r="50" ht="12.75">
      <c r="A50" s="30" t="s">
        <v>983</v>
      </c>
    </row>
    <row r="51" ht="12.75">
      <c r="A51" s="30" t="s">
        <v>939</v>
      </c>
    </row>
    <row r="52" ht="12.75">
      <c r="A52" t="s">
        <v>952</v>
      </c>
    </row>
    <row r="53" ht="12.75">
      <c r="A53" s="20" t="s">
        <v>960</v>
      </c>
    </row>
    <row r="55" ht="12.75">
      <c r="P55" s="5"/>
    </row>
    <row r="58" ht="12.75">
      <c r="P58" s="5"/>
    </row>
    <row r="59" ht="12.75">
      <c r="P59" s="5"/>
    </row>
    <row r="60" ht="12.75">
      <c r="P60" s="5"/>
    </row>
    <row r="68" ht="12.75">
      <c r="T68" s="2"/>
    </row>
    <row r="69" ht="12.75">
      <c r="T69" s="2"/>
    </row>
    <row r="70" ht="12.75">
      <c r="T70" s="2"/>
    </row>
    <row r="71" ht="12.75">
      <c r="T71" s="2"/>
    </row>
    <row r="72" ht="12.75">
      <c r="T72" s="2"/>
    </row>
    <row r="73" ht="12.75">
      <c r="T7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8" r:id="rId3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6" width="6.8515625" style="0" hidden="1" customWidth="1"/>
    <col min="7" max="10" width="8.140625" style="0" hidden="1" customWidth="1"/>
    <col min="11" max="13" width="8.140625" style="0" customWidth="1"/>
    <col min="14" max="14" width="6.8515625" style="0" bestFit="1" customWidth="1"/>
    <col min="15" max="15" width="9.28125" style="0" bestFit="1" customWidth="1"/>
    <col min="16" max="16" width="11.57421875" style="0" customWidth="1"/>
    <col min="17" max="17" width="9.28125" style="0" bestFit="1" customWidth="1"/>
    <col min="18" max="18" width="11.7109375" style="0" customWidth="1"/>
    <col min="19" max="19" width="8.140625" style="0" bestFit="1" customWidth="1"/>
    <col min="20" max="20" width="9.57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414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0" ht="12.75">
      <c r="A7" t="s">
        <v>446</v>
      </c>
      <c r="B7" s="4">
        <v>52.385</v>
      </c>
      <c r="C7" s="2">
        <v>289</v>
      </c>
      <c r="D7" s="2">
        <v>1270</v>
      </c>
      <c r="E7" s="2">
        <v>83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8"/>
    </row>
    <row r="8" spans="1:20" ht="12.75">
      <c r="A8" t="s">
        <v>122</v>
      </c>
      <c r="B8" s="4">
        <v>53.12</v>
      </c>
      <c r="C8" s="2">
        <v>1923</v>
      </c>
      <c r="D8" s="2">
        <v>1838</v>
      </c>
      <c r="E8" s="2">
        <v>178</v>
      </c>
      <c r="F8" s="2">
        <v>1820</v>
      </c>
      <c r="G8" s="2">
        <v>1727</v>
      </c>
      <c r="H8" s="2">
        <v>1703</v>
      </c>
      <c r="I8" s="2">
        <v>1659</v>
      </c>
      <c r="J8" s="2">
        <v>2915</v>
      </c>
      <c r="K8" s="2">
        <v>3100</v>
      </c>
      <c r="L8" s="2">
        <v>2813</v>
      </c>
      <c r="M8" s="2">
        <v>2584</v>
      </c>
      <c r="N8" s="2">
        <v>1211</v>
      </c>
      <c r="O8" s="2">
        <f>+N8/$N$3*12</f>
        <v>2422</v>
      </c>
      <c r="P8" s="2">
        <v>1900</v>
      </c>
      <c r="Q8" s="2">
        <v>2500</v>
      </c>
      <c r="R8" s="2">
        <v>2500</v>
      </c>
      <c r="S8" s="2">
        <v>2500</v>
      </c>
      <c r="T8" s="75">
        <f>(S8-P8)/P8</f>
        <v>0.3157894736842105</v>
      </c>
    </row>
    <row r="9" spans="1:20" ht="12.75">
      <c r="A9" t="s">
        <v>331</v>
      </c>
      <c r="B9" s="4">
        <v>53.13</v>
      </c>
      <c r="C9" s="2"/>
      <c r="D9" s="2"/>
      <c r="E9" s="2">
        <v>1573</v>
      </c>
      <c r="F9" s="2"/>
      <c r="G9" s="2"/>
      <c r="H9" s="2"/>
      <c r="I9" s="2"/>
      <c r="J9" s="2"/>
      <c r="K9" s="2"/>
      <c r="L9" s="2"/>
      <c r="M9" s="2"/>
      <c r="N9" s="2"/>
      <c r="O9" s="2"/>
      <c r="Q9" s="2"/>
      <c r="T9" s="75"/>
    </row>
    <row r="10" spans="1:20" ht="12.75">
      <c r="A10" t="s">
        <v>188</v>
      </c>
      <c r="B10" s="4">
        <v>57.106</v>
      </c>
      <c r="C10" s="2">
        <v>4800</v>
      </c>
      <c r="D10" s="2">
        <v>4800</v>
      </c>
      <c r="E10" s="2">
        <v>4800</v>
      </c>
      <c r="F10" s="2">
        <v>4800</v>
      </c>
      <c r="G10" s="2">
        <v>4800</v>
      </c>
      <c r="H10" s="2">
        <v>4800</v>
      </c>
      <c r="I10" s="2">
        <v>4800</v>
      </c>
      <c r="J10" s="2">
        <v>4800</v>
      </c>
      <c r="K10" s="2">
        <v>4800</v>
      </c>
      <c r="L10" s="2">
        <v>7200</v>
      </c>
      <c r="M10" s="2">
        <v>6840</v>
      </c>
      <c r="N10" s="2">
        <v>2850</v>
      </c>
      <c r="O10" s="2">
        <v>6840</v>
      </c>
      <c r="P10" s="2">
        <v>6840</v>
      </c>
      <c r="Q10" s="2">
        <v>12733</v>
      </c>
      <c r="R10" s="2">
        <v>6840</v>
      </c>
      <c r="S10" s="2">
        <v>6840</v>
      </c>
      <c r="T10" s="75">
        <f>(S10-P10)/P10</f>
        <v>0</v>
      </c>
    </row>
    <row r="11" spans="1:20" ht="12.75">
      <c r="A11" t="s">
        <v>290</v>
      </c>
      <c r="B11" s="4" t="s">
        <v>92</v>
      </c>
      <c r="C11" s="2">
        <v>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8"/>
    </row>
    <row r="12" spans="1:20" ht="12.75">
      <c r="A12" t="s">
        <v>885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3193</v>
      </c>
      <c r="N12" s="2"/>
      <c r="O12" s="2"/>
      <c r="P12" s="2"/>
      <c r="Q12" s="2"/>
      <c r="R12" s="2"/>
      <c r="S12" s="2"/>
      <c r="T12" s="48"/>
    </row>
    <row r="13" spans="1:20" ht="12.75">
      <c r="A13" t="s">
        <v>174</v>
      </c>
      <c r="B13" s="4" t="s">
        <v>92</v>
      </c>
      <c r="C13" s="2">
        <v>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8"/>
    </row>
    <row r="14" spans="3:20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8"/>
    </row>
    <row r="15" spans="1:20" ht="12.75">
      <c r="A15" s="6" t="s">
        <v>91</v>
      </c>
      <c r="B15" s="6"/>
      <c r="C15" s="8">
        <f>SUM(C7:C13)</f>
        <v>7071</v>
      </c>
      <c r="D15" s="8">
        <f>SUM(D7:D13)</f>
        <v>7908</v>
      </c>
      <c r="E15" s="8">
        <f>SUM(E7:E14)</f>
        <v>6634</v>
      </c>
      <c r="F15" s="8">
        <f>SUM(F7:F14)</f>
        <v>6620</v>
      </c>
      <c r="G15" s="8">
        <f>SUM(G7:G14)</f>
        <v>6527</v>
      </c>
      <c r="H15" s="8">
        <f>SUM(H7:H14)</f>
        <v>6503</v>
      </c>
      <c r="I15" s="8">
        <f>SUM(I7:I14)</f>
        <v>6459</v>
      </c>
      <c r="J15" s="8">
        <v>7715</v>
      </c>
      <c r="K15" s="8">
        <f aca="true" t="shared" si="0" ref="K15:S15">SUM(K7:K13)</f>
        <v>7900</v>
      </c>
      <c r="L15" s="8">
        <v>10013</v>
      </c>
      <c r="M15" s="8">
        <v>12617</v>
      </c>
      <c r="N15" s="8">
        <f t="shared" si="0"/>
        <v>4061</v>
      </c>
      <c r="O15" s="8">
        <f t="shared" si="0"/>
        <v>9262</v>
      </c>
      <c r="P15" s="8">
        <f t="shared" si="0"/>
        <v>8740</v>
      </c>
      <c r="Q15" s="8">
        <f t="shared" si="0"/>
        <v>15233</v>
      </c>
      <c r="R15" s="8">
        <f t="shared" si="0"/>
        <v>9340</v>
      </c>
      <c r="S15" s="8">
        <f t="shared" si="0"/>
        <v>9340</v>
      </c>
      <c r="T15" s="48">
        <f>(S15-P15)/P15</f>
        <v>0.06864988558352403</v>
      </c>
    </row>
    <row r="16" spans="3:20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8"/>
    </row>
    <row r="17" spans="3:20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0" t="s">
        <v>445</v>
      </c>
      <c r="Q17" s="20"/>
      <c r="R17" s="52">
        <f>Q15-R15</f>
        <v>5893</v>
      </c>
      <c r="S17" s="2"/>
      <c r="T17" s="48"/>
    </row>
    <row r="18" spans="1:20" ht="12.75">
      <c r="A18" s="6"/>
      <c r="P18" s="20" t="s">
        <v>668</v>
      </c>
      <c r="Q18" s="20"/>
      <c r="R18" s="52">
        <f>P15-R15</f>
        <v>-600</v>
      </c>
      <c r="T18" s="48"/>
    </row>
    <row r="19" spans="16:20" ht="12.75">
      <c r="P19" s="20" t="s">
        <v>397</v>
      </c>
      <c r="Q19" s="20"/>
      <c r="R19" s="52">
        <f>R15-S15</f>
        <v>0</v>
      </c>
      <c r="T19" s="48"/>
    </row>
    <row r="20" ht="12.75">
      <c r="T20" s="48"/>
    </row>
    <row r="21" spans="1:22" ht="12.75">
      <c r="A21" s="6"/>
      <c r="T21" s="48"/>
      <c r="V21" t="s">
        <v>601</v>
      </c>
    </row>
    <row r="22" ht="12.75">
      <c r="T22" s="48"/>
    </row>
    <row r="23" ht="12.75">
      <c r="T23" s="48"/>
    </row>
    <row r="24" ht="12.75">
      <c r="T24" s="48"/>
    </row>
    <row r="25" ht="12.75">
      <c r="T25" s="56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V6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10" width="8.7109375" style="0" hidden="1" customWidth="1"/>
    <col min="11" max="13" width="8.7109375" style="0" customWidth="1"/>
    <col min="14" max="14" width="8.28125" style="0" bestFit="1" customWidth="1"/>
    <col min="15" max="15" width="9.7109375" style="0" bestFit="1" customWidth="1"/>
    <col min="16" max="16" width="9.421875" style="0" customWidth="1"/>
    <col min="18" max="18" width="10.7109375" style="0" bestFit="1" customWidth="1"/>
    <col min="19" max="19" width="11.14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6" ht="12.75">
      <c r="A2" t="s">
        <v>82</v>
      </c>
      <c r="O2" s="136"/>
      <c r="P2" s="136"/>
    </row>
    <row r="3" spans="1:20" ht="12.75">
      <c r="A3" s="6" t="s">
        <v>416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s="20" t="s">
        <v>604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142480.58</v>
      </c>
      <c r="M7" s="2">
        <v>151701</v>
      </c>
      <c r="N7" s="2">
        <v>57969</v>
      </c>
      <c r="O7" s="2">
        <f>+N7/$N$3*12</f>
        <v>115938</v>
      </c>
      <c r="P7" s="2">
        <v>158284.36</v>
      </c>
      <c r="Q7" s="2">
        <v>123573</v>
      </c>
      <c r="R7" s="2">
        <v>123572.92</v>
      </c>
      <c r="S7" s="2">
        <v>123572.92</v>
      </c>
      <c r="T7" s="75">
        <f aca="true" t="shared" si="0" ref="T7:T22">(S7-P7)/P7</f>
        <v>-0.2192979773870267</v>
      </c>
      <c r="U7" s="30" t="s">
        <v>526</v>
      </c>
    </row>
    <row r="8" spans="1:20" ht="12.75">
      <c r="A8" t="s">
        <v>448</v>
      </c>
      <c r="B8" s="4">
        <v>51.21</v>
      </c>
      <c r="C8" s="2">
        <v>6031</v>
      </c>
      <c r="D8" s="2">
        <v>7552</v>
      </c>
      <c r="E8" s="2">
        <v>9559</v>
      </c>
      <c r="F8" s="2">
        <v>8497</v>
      </c>
      <c r="G8" s="2">
        <v>9046</v>
      </c>
      <c r="H8" s="2">
        <v>9442</v>
      </c>
      <c r="I8" s="2">
        <v>9527</v>
      </c>
      <c r="J8" s="2">
        <v>10158</v>
      </c>
      <c r="K8" s="2">
        <v>11990</v>
      </c>
      <c r="L8" s="2">
        <v>12949</v>
      </c>
      <c r="M8" s="2">
        <v>13622</v>
      </c>
      <c r="N8" s="2">
        <v>4924</v>
      </c>
      <c r="O8" s="2">
        <f>+N8/$N$3*12</f>
        <v>9848</v>
      </c>
      <c r="P8" s="28">
        <v>14760</v>
      </c>
      <c r="Q8" s="28">
        <v>14880</v>
      </c>
      <c r="R8" s="28">
        <f>4960*3</f>
        <v>14880</v>
      </c>
      <c r="S8" s="28">
        <v>14880</v>
      </c>
      <c r="T8" s="75">
        <f t="shared" si="0"/>
        <v>0.008130081300813009</v>
      </c>
    </row>
    <row r="9" spans="1:20" ht="12.75">
      <c r="A9" t="s">
        <v>113</v>
      </c>
      <c r="B9" s="4">
        <v>51.22</v>
      </c>
      <c r="C9" s="2">
        <v>5875</v>
      </c>
      <c r="D9" s="2">
        <v>6277</v>
      </c>
      <c r="E9" s="2">
        <v>6586</v>
      </c>
      <c r="F9" s="2">
        <v>7405</v>
      </c>
      <c r="G9" s="2">
        <v>7709</v>
      </c>
      <c r="H9" s="2">
        <v>8174</v>
      </c>
      <c r="I9" s="2">
        <v>8301</v>
      </c>
      <c r="J9" s="2">
        <v>8863</v>
      </c>
      <c r="K9" s="2">
        <v>10082</v>
      </c>
      <c r="L9" s="2">
        <v>10854.12</v>
      </c>
      <c r="M9" s="2">
        <v>11518</v>
      </c>
      <c r="N9" s="2">
        <v>4366</v>
      </c>
      <c r="O9" s="2">
        <f>+N9/$N$3*12</f>
        <v>8732</v>
      </c>
      <c r="P9" s="2">
        <v>12108.753539999998</v>
      </c>
      <c r="Q9" s="2">
        <f>Q7*0.0765</f>
        <v>9453.334499999999</v>
      </c>
      <c r="R9" s="2">
        <f>R7*0.0765</f>
        <v>9453.328379999999</v>
      </c>
      <c r="S9" s="2">
        <f>S7*0.0765</f>
        <v>9453.328379999999</v>
      </c>
      <c r="T9" s="75">
        <f t="shared" si="0"/>
        <v>-0.2192979773870267</v>
      </c>
    </row>
    <row r="10" spans="1:20" ht="12.75">
      <c r="A10" t="s">
        <v>127</v>
      </c>
      <c r="B10" s="4">
        <v>51.24</v>
      </c>
      <c r="C10" s="2">
        <v>724</v>
      </c>
      <c r="D10" s="2">
        <v>879</v>
      </c>
      <c r="E10" s="2">
        <v>1254</v>
      </c>
      <c r="F10" s="2">
        <v>1596</v>
      </c>
      <c r="G10" s="2">
        <v>1779</v>
      </c>
      <c r="H10" s="2">
        <v>1827</v>
      </c>
      <c r="I10" s="2">
        <v>2105</v>
      </c>
      <c r="J10" s="2">
        <v>2311</v>
      </c>
      <c r="K10" s="2">
        <v>2730</v>
      </c>
      <c r="L10" s="2">
        <v>3507</v>
      </c>
      <c r="M10" s="2">
        <v>844</v>
      </c>
      <c r="N10" s="2">
        <v>1171</v>
      </c>
      <c r="O10" s="2">
        <f>+N10/$N$3*12</f>
        <v>2342</v>
      </c>
      <c r="P10" s="2">
        <v>4600</v>
      </c>
      <c r="Q10" s="2">
        <v>4000</v>
      </c>
      <c r="R10" s="2">
        <v>4000</v>
      </c>
      <c r="S10" s="2">
        <v>4000</v>
      </c>
      <c r="T10" s="75">
        <f t="shared" si="0"/>
        <v>-0.13043478260869565</v>
      </c>
    </row>
    <row r="11" spans="2:20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5"/>
    </row>
    <row r="12" spans="1:21" ht="12.75">
      <c r="A12" s="20" t="s">
        <v>746</v>
      </c>
      <c r="B12" s="4">
        <v>52.1208</v>
      </c>
      <c r="C12" s="2"/>
      <c r="D12" s="2"/>
      <c r="E12" s="2"/>
      <c r="F12" s="2"/>
      <c r="G12" s="2"/>
      <c r="H12" s="2"/>
      <c r="I12" s="2"/>
      <c r="J12" s="2"/>
      <c r="K12" s="2">
        <v>2400</v>
      </c>
      <c r="L12" s="2">
        <v>2400</v>
      </c>
      <c r="M12" s="2">
        <v>2400</v>
      </c>
      <c r="N12" s="2">
        <v>1400</v>
      </c>
      <c r="O12" s="2">
        <v>2400</v>
      </c>
      <c r="P12" s="2">
        <v>2400</v>
      </c>
      <c r="Q12" s="2">
        <v>2400</v>
      </c>
      <c r="R12" s="2">
        <v>2400</v>
      </c>
      <c r="S12" s="2">
        <v>2400</v>
      </c>
      <c r="T12" s="75"/>
      <c r="U12" t="s">
        <v>463</v>
      </c>
    </row>
    <row r="13" spans="1:21" ht="12.75">
      <c r="A13" t="s">
        <v>145</v>
      </c>
      <c r="B13" s="4">
        <v>52.1316</v>
      </c>
      <c r="C13" s="2"/>
      <c r="D13" s="2"/>
      <c r="E13" s="2"/>
      <c r="F13" s="2"/>
      <c r="G13" s="2"/>
      <c r="H13" s="2"/>
      <c r="I13" s="2"/>
      <c r="J13" s="2">
        <v>846</v>
      </c>
      <c r="K13" s="2">
        <v>973</v>
      </c>
      <c r="L13" s="2">
        <v>815</v>
      </c>
      <c r="M13" s="2">
        <v>873</v>
      </c>
      <c r="N13" s="2">
        <v>916</v>
      </c>
      <c r="O13" s="2">
        <v>916</v>
      </c>
      <c r="P13" s="2">
        <v>900</v>
      </c>
      <c r="Q13" s="2">
        <v>963</v>
      </c>
      <c r="R13" s="2">
        <v>963</v>
      </c>
      <c r="S13" s="2">
        <v>963</v>
      </c>
      <c r="T13" s="75"/>
      <c r="U13" s="2"/>
    </row>
    <row r="14" spans="1:20" ht="12.75" hidden="1">
      <c r="A14" t="s">
        <v>136</v>
      </c>
      <c r="B14" s="4">
        <v>52.2204</v>
      </c>
      <c r="C14" s="2"/>
      <c r="D14" s="2"/>
      <c r="E14" s="2"/>
      <c r="F14" s="2"/>
      <c r="G14" s="2"/>
      <c r="H14" s="2"/>
      <c r="I14" s="2">
        <v>1540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75"/>
    </row>
    <row r="15" spans="1:21" ht="12.75" hidden="1">
      <c r="A15" t="s">
        <v>131</v>
      </c>
      <c r="B15" s="4">
        <v>52.12</v>
      </c>
      <c r="C15" s="2"/>
      <c r="D15" s="2"/>
      <c r="E15" s="2"/>
      <c r="F15" s="2">
        <v>215</v>
      </c>
      <c r="G15" s="2"/>
      <c r="H15" s="2"/>
      <c r="I15" s="2"/>
      <c r="J15" s="2">
        <v>3400</v>
      </c>
      <c r="K15" s="2"/>
      <c r="L15" s="2"/>
      <c r="M15" s="2"/>
      <c r="N15" s="2"/>
      <c r="O15" s="2"/>
      <c r="P15" s="2"/>
      <c r="Q15" s="2"/>
      <c r="R15" s="2"/>
      <c r="S15" s="2"/>
      <c r="T15" s="75">
        <v>0.47619047619047616</v>
      </c>
      <c r="U15" t="s">
        <v>463</v>
      </c>
    </row>
    <row r="16" spans="1:20" ht="12.75">
      <c r="A16" t="s">
        <v>115</v>
      </c>
      <c r="B16" s="4">
        <v>52.32</v>
      </c>
      <c r="C16" s="2">
        <v>2204</v>
      </c>
      <c r="D16" s="2">
        <v>1993</v>
      </c>
      <c r="E16" s="2">
        <v>2255</v>
      </c>
      <c r="F16" s="2">
        <v>2379</v>
      </c>
      <c r="G16" s="2">
        <v>2255</v>
      </c>
      <c r="H16" s="2">
        <v>2995</v>
      </c>
      <c r="I16" s="2">
        <v>3027</v>
      </c>
      <c r="J16" s="2">
        <v>2750</v>
      </c>
      <c r="K16" s="2">
        <v>3376</v>
      </c>
      <c r="L16" s="2">
        <f>3290-26</f>
        <v>3264</v>
      </c>
      <c r="M16" s="2">
        <v>3124</v>
      </c>
      <c r="N16" s="2">
        <v>1365</v>
      </c>
      <c r="O16" s="2">
        <f>+N16/$N$3*12</f>
        <v>2730</v>
      </c>
      <c r="P16" s="2">
        <v>2500</v>
      </c>
      <c r="Q16" s="2">
        <v>2500</v>
      </c>
      <c r="R16" s="2">
        <v>2500</v>
      </c>
      <c r="S16" s="2">
        <v>2500</v>
      </c>
      <c r="T16" s="75">
        <f t="shared" si="0"/>
        <v>0</v>
      </c>
    </row>
    <row r="17" spans="1:20" ht="12.75">
      <c r="A17" t="s">
        <v>116</v>
      </c>
      <c r="B17" s="4">
        <v>52.321</v>
      </c>
      <c r="C17" s="2">
        <v>1926</v>
      </c>
      <c r="D17" s="2">
        <v>2096</v>
      </c>
      <c r="E17" s="2">
        <v>2072</v>
      </c>
      <c r="F17" s="2">
        <v>2598</v>
      </c>
      <c r="G17" s="2">
        <v>2569</v>
      </c>
      <c r="H17" s="2">
        <v>1671</v>
      </c>
      <c r="I17" s="2">
        <v>2571</v>
      </c>
      <c r="J17" s="2">
        <v>3028</v>
      </c>
      <c r="K17" s="2">
        <v>912</v>
      </c>
      <c r="L17" s="2">
        <v>2592</v>
      </c>
      <c r="M17" s="2">
        <v>2543</v>
      </c>
      <c r="N17" s="2">
        <v>506</v>
      </c>
      <c r="O17" s="2">
        <f>+N17/$N$3*12</f>
        <v>1012</v>
      </c>
      <c r="P17" s="2">
        <v>2600</v>
      </c>
      <c r="Q17" s="2">
        <v>2900</v>
      </c>
      <c r="R17" s="2">
        <v>2600</v>
      </c>
      <c r="S17" s="2">
        <v>2600</v>
      </c>
      <c r="T17" s="75">
        <f t="shared" si="0"/>
        <v>0</v>
      </c>
    </row>
    <row r="18" spans="1:22" ht="12.75">
      <c r="A18" t="s">
        <v>128</v>
      </c>
      <c r="B18" s="4">
        <v>52.35</v>
      </c>
      <c r="C18" s="2">
        <v>2246</v>
      </c>
      <c r="D18" s="2">
        <v>2726</v>
      </c>
      <c r="E18" s="2">
        <v>2234</v>
      </c>
      <c r="F18" s="2">
        <v>1932</v>
      </c>
      <c r="G18" s="2">
        <v>2156</v>
      </c>
      <c r="H18" s="2">
        <v>1972</v>
      </c>
      <c r="I18" s="2">
        <v>1931</v>
      </c>
      <c r="J18" s="2">
        <v>1354</v>
      </c>
      <c r="K18" s="2">
        <v>1894</v>
      </c>
      <c r="L18" s="2">
        <v>1454</v>
      </c>
      <c r="M18" s="2">
        <v>1489</v>
      </c>
      <c r="N18" s="2">
        <v>-161</v>
      </c>
      <c r="O18" s="2">
        <v>1500</v>
      </c>
      <c r="P18" s="2">
        <v>1500</v>
      </c>
      <c r="Q18" s="2">
        <v>1500</v>
      </c>
      <c r="R18" s="2">
        <v>1500</v>
      </c>
      <c r="S18" s="2">
        <v>1500</v>
      </c>
      <c r="T18" s="75">
        <f t="shared" si="0"/>
        <v>0</v>
      </c>
      <c r="U18" s="30" t="s">
        <v>464</v>
      </c>
      <c r="V18" s="6"/>
    </row>
    <row r="19" spans="1:20" ht="12.75">
      <c r="A19" t="s">
        <v>118</v>
      </c>
      <c r="B19" s="4">
        <v>52.3602</v>
      </c>
      <c r="C19" s="2">
        <v>85</v>
      </c>
      <c r="D19" s="2">
        <v>75</v>
      </c>
      <c r="E19" s="2">
        <v>70</v>
      </c>
      <c r="F19" s="2">
        <v>115</v>
      </c>
      <c r="G19" s="2"/>
      <c r="H19" s="2">
        <v>220</v>
      </c>
      <c r="I19" s="2">
        <v>160</v>
      </c>
      <c r="J19" s="2">
        <v>160</v>
      </c>
      <c r="K19" s="2">
        <v>110</v>
      </c>
      <c r="L19" s="2">
        <v>300</v>
      </c>
      <c r="M19" s="2">
        <v>310</v>
      </c>
      <c r="N19" s="2">
        <v>0</v>
      </c>
      <c r="O19" s="2">
        <v>300</v>
      </c>
      <c r="P19" s="2">
        <v>300</v>
      </c>
      <c r="Q19" s="2">
        <v>300</v>
      </c>
      <c r="R19" s="2">
        <v>300</v>
      </c>
      <c r="S19" s="2">
        <v>300</v>
      </c>
      <c r="T19" s="75">
        <f t="shared" si="0"/>
        <v>0</v>
      </c>
    </row>
    <row r="20" spans="1:22" ht="12.75">
      <c r="A20" t="s">
        <v>129</v>
      </c>
      <c r="B20" s="4">
        <v>52.37</v>
      </c>
      <c r="C20" s="2"/>
      <c r="D20" s="2"/>
      <c r="E20" s="2">
        <v>500</v>
      </c>
      <c r="F20" s="2">
        <v>465</v>
      </c>
      <c r="G20" s="2">
        <v>537</v>
      </c>
      <c r="H20" s="2">
        <v>645</v>
      </c>
      <c r="I20" s="2"/>
      <c r="J20" s="2"/>
      <c r="K20" s="2">
        <v>525</v>
      </c>
      <c r="L20" s="2">
        <v>795</v>
      </c>
      <c r="M20" s="2">
        <v>795</v>
      </c>
      <c r="N20" s="2">
        <v>1003</v>
      </c>
      <c r="O20" s="2">
        <v>1003</v>
      </c>
      <c r="P20" s="2">
        <v>805</v>
      </c>
      <c r="Q20" s="2">
        <v>1095</v>
      </c>
      <c r="R20" s="2">
        <v>1095</v>
      </c>
      <c r="S20" s="2">
        <v>1095</v>
      </c>
      <c r="T20" s="75">
        <f t="shared" si="0"/>
        <v>0.36024844720496896</v>
      </c>
      <c r="U20" s="30" t="s">
        <v>464</v>
      </c>
      <c r="V20" s="6"/>
    </row>
    <row r="21" spans="2:20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1" ht="12.75">
      <c r="A22" t="s">
        <v>123</v>
      </c>
      <c r="B22" s="4">
        <v>53.171</v>
      </c>
      <c r="C22" s="2">
        <v>3762</v>
      </c>
      <c r="D22" s="2">
        <v>5773</v>
      </c>
      <c r="E22" s="2">
        <v>3279</v>
      </c>
      <c r="F22" s="2">
        <v>3332</v>
      </c>
      <c r="G22" s="2">
        <v>3316</v>
      </c>
      <c r="H22" s="2">
        <v>2551</v>
      </c>
      <c r="I22" s="2">
        <v>2977</v>
      </c>
      <c r="J22" s="2">
        <v>3023</v>
      </c>
      <c r="K22" s="2">
        <v>2718</v>
      </c>
      <c r="L22" s="2">
        <v>2267</v>
      </c>
      <c r="M22" s="2">
        <v>3033</v>
      </c>
      <c r="N22" s="2">
        <v>1104</v>
      </c>
      <c r="O22" s="2">
        <v>2200</v>
      </c>
      <c r="P22" s="2">
        <v>2700</v>
      </c>
      <c r="Q22" s="2">
        <v>2900</v>
      </c>
      <c r="R22" s="2">
        <v>2700</v>
      </c>
      <c r="S22" s="2">
        <v>2200</v>
      </c>
      <c r="T22" s="75">
        <f t="shared" si="0"/>
        <v>-0.18518518518518517</v>
      </c>
      <c r="U22" s="2"/>
    </row>
    <row r="23" spans="1:21" ht="12.75">
      <c r="A23" t="s">
        <v>836</v>
      </c>
      <c r="B23" s="4">
        <v>53.1737</v>
      </c>
      <c r="C23" s="2"/>
      <c r="D23" s="2"/>
      <c r="E23" s="2"/>
      <c r="F23" s="2"/>
      <c r="G23" s="2"/>
      <c r="H23" s="2"/>
      <c r="I23" s="2"/>
      <c r="J23" s="2"/>
      <c r="K23" s="2"/>
      <c r="L23" s="2">
        <v>167</v>
      </c>
      <c r="M23" s="2"/>
      <c r="N23" s="2"/>
      <c r="O23" s="2"/>
      <c r="P23" s="2"/>
      <c r="Q23" s="2"/>
      <c r="R23" s="2"/>
      <c r="S23" s="2"/>
      <c r="T23" s="75"/>
      <c r="U23" s="2"/>
    </row>
    <row r="24" spans="1:20" ht="12.75" hidden="1">
      <c r="A24" t="s">
        <v>322</v>
      </c>
      <c r="B24" s="4">
        <v>53.179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5"/>
    </row>
    <row r="25" spans="1:20" ht="12.75" hidden="1">
      <c r="A25" t="s">
        <v>567</v>
      </c>
      <c r="C25" s="2"/>
      <c r="D25" s="2"/>
      <c r="E25" s="2"/>
      <c r="F25" s="2"/>
      <c r="G25" s="2"/>
      <c r="H25" s="2">
        <v>80</v>
      </c>
      <c r="I25" s="2">
        <v>3800</v>
      </c>
      <c r="J25" s="2"/>
      <c r="K25" s="2"/>
      <c r="L25" s="2"/>
      <c r="M25" s="2"/>
      <c r="N25" s="2"/>
      <c r="P25" s="2"/>
      <c r="Q25" s="2"/>
      <c r="R25" s="2"/>
      <c r="S25" s="2"/>
      <c r="T25" s="75"/>
    </row>
    <row r="26" spans="1:20" ht="12.75" hidden="1">
      <c r="A26" t="s">
        <v>586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P26" s="2"/>
      <c r="Q26" s="2"/>
      <c r="R26" s="2"/>
      <c r="S26" s="2"/>
      <c r="T26" s="75"/>
    </row>
    <row r="27" spans="1:21" ht="12.75">
      <c r="A27" t="s">
        <v>203</v>
      </c>
      <c r="B27" s="4">
        <v>54.24</v>
      </c>
      <c r="C27" s="5"/>
      <c r="D27" s="5"/>
      <c r="E27" s="2">
        <v>1528</v>
      </c>
      <c r="F27" s="2">
        <v>1654</v>
      </c>
      <c r="G27" s="2">
        <v>245</v>
      </c>
      <c r="H27" s="2"/>
      <c r="I27" s="2">
        <v>1324</v>
      </c>
      <c r="J27" s="2">
        <v>1156</v>
      </c>
      <c r="K27" s="2">
        <v>977</v>
      </c>
      <c r="L27" s="2">
        <v>1230</v>
      </c>
      <c r="M27" s="2"/>
      <c r="N27" s="2"/>
      <c r="O27" s="2"/>
      <c r="P27" s="2"/>
      <c r="Q27" s="2"/>
      <c r="R27" s="2"/>
      <c r="S27" s="2"/>
      <c r="T27" s="75"/>
      <c r="U27" s="30"/>
    </row>
    <row r="28" spans="2:20" ht="12.7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8"/>
    </row>
    <row r="29" spans="1:20" ht="12.75">
      <c r="A29" s="6" t="s">
        <v>91</v>
      </c>
      <c r="B29" s="6"/>
      <c r="C29" s="7">
        <f>SUM(C7:C25)</f>
        <v>99662</v>
      </c>
      <c r="D29" s="8">
        <f>SUM(D7:D25)</f>
        <v>109429</v>
      </c>
      <c r="E29" s="8">
        <f>SUM(E7:E28)</f>
        <v>115436</v>
      </c>
      <c r="F29" s="8">
        <f>SUM(F7:F28)</f>
        <v>126753</v>
      </c>
      <c r="G29" s="8">
        <f>SUM(G7:G28)</f>
        <v>130572</v>
      </c>
      <c r="H29" s="8">
        <f>SUM(H7:H28)</f>
        <v>136691</v>
      </c>
      <c r="I29" s="8">
        <f>SUM(I7:I28)</f>
        <v>146403</v>
      </c>
      <c r="J29" s="8">
        <v>153640</v>
      </c>
      <c r="K29" s="8">
        <f>SUM(K7:K28)</f>
        <v>171119</v>
      </c>
      <c r="L29" s="8">
        <v>185075</v>
      </c>
      <c r="M29" s="8">
        <v>192252</v>
      </c>
      <c r="N29" s="8">
        <f aca="true" t="shared" si="1" ref="N29:S29">SUM(N7:N28)</f>
        <v>74563</v>
      </c>
      <c r="O29" s="8">
        <f t="shared" si="1"/>
        <v>148921</v>
      </c>
      <c r="P29" s="8">
        <f t="shared" si="1"/>
        <v>203458.11354</v>
      </c>
      <c r="Q29" s="8">
        <f t="shared" si="1"/>
        <v>166464.3345</v>
      </c>
      <c r="R29" s="8">
        <f t="shared" si="1"/>
        <v>165964.24837999998</v>
      </c>
      <c r="S29" s="8">
        <f t="shared" si="1"/>
        <v>165464.24837999998</v>
      </c>
      <c r="T29" s="49">
        <f>(S29-P29)/P29</f>
        <v>-0.18674047694111937</v>
      </c>
    </row>
    <row r="31" spans="16:18" ht="12.75">
      <c r="P31" s="20" t="s">
        <v>445</v>
      </c>
      <c r="Q31" s="20"/>
      <c r="R31" s="52">
        <f>Q29-R29</f>
        <v>500.08612000002177</v>
      </c>
    </row>
    <row r="32" spans="16:18" ht="12.75">
      <c r="P32" s="20" t="s">
        <v>668</v>
      </c>
      <c r="Q32" s="20"/>
      <c r="R32" s="52">
        <f>P29-R29</f>
        <v>37493.865160000016</v>
      </c>
    </row>
    <row r="33" spans="16:18" ht="12.75">
      <c r="P33" s="20" t="s">
        <v>397</v>
      </c>
      <c r="Q33" s="20"/>
      <c r="R33" s="52">
        <f>R29-S29</f>
        <v>500</v>
      </c>
    </row>
    <row r="35" ht="12.75">
      <c r="A35" t="s">
        <v>689</v>
      </c>
    </row>
    <row r="36" ht="12.75">
      <c r="A36" t="s">
        <v>911</v>
      </c>
    </row>
    <row r="38" ht="12.75">
      <c r="A38" s="20" t="s">
        <v>961</v>
      </c>
    </row>
    <row r="39" ht="12.75">
      <c r="A39" s="42"/>
    </row>
    <row r="40" spans="1:16" ht="12.75">
      <c r="A40" t="s">
        <v>819</v>
      </c>
      <c r="I40" s="39">
        <v>68415</v>
      </c>
      <c r="J40" s="39">
        <v>62360</v>
      </c>
      <c r="K40" s="39">
        <v>84113</v>
      </c>
      <c r="L40" s="39">
        <v>71981</v>
      </c>
      <c r="M40" s="39">
        <v>81396</v>
      </c>
      <c r="N40" s="28">
        <v>21650</v>
      </c>
      <c r="O40">
        <f>N40*2</f>
        <v>43300</v>
      </c>
      <c r="P40" s="28">
        <v>76000</v>
      </c>
    </row>
    <row r="41" spans="1:18" ht="12.75">
      <c r="A41" t="s">
        <v>912</v>
      </c>
      <c r="K41" s="60">
        <f aca="true" t="shared" si="2" ref="K41:P41">K40/K29</f>
        <v>0.4915468182960396</v>
      </c>
      <c r="L41" s="60">
        <f t="shared" si="2"/>
        <v>0.3889288126435229</v>
      </c>
      <c r="M41" s="60">
        <f t="shared" si="2"/>
        <v>0.4233818113725735</v>
      </c>
      <c r="N41" s="60">
        <f t="shared" si="2"/>
        <v>0.2903584887947105</v>
      </c>
      <c r="O41" s="60">
        <f t="shared" si="2"/>
        <v>0.29075818722678465</v>
      </c>
      <c r="P41" s="60">
        <f t="shared" si="2"/>
        <v>0.3735412595627864</v>
      </c>
      <c r="Q41" s="4"/>
      <c r="R41" s="133"/>
    </row>
    <row r="43" ht="12.75">
      <c r="P43" s="5"/>
    </row>
    <row r="45" ht="12.75">
      <c r="P45" s="5"/>
    </row>
    <row r="56" spans="12:15" ht="12.75">
      <c r="L56" s="2"/>
      <c r="M56" s="2"/>
      <c r="N56" s="2"/>
      <c r="O56" s="2"/>
    </row>
    <row r="57" spans="12:15" ht="12.75">
      <c r="L57" s="2"/>
      <c r="M57" s="2"/>
      <c r="N57" s="2"/>
      <c r="O57" s="2"/>
    </row>
    <row r="58" spans="12:15" ht="12.75">
      <c r="L58" s="2"/>
      <c r="M58" s="2"/>
      <c r="N58" s="2"/>
      <c r="O58" s="2"/>
    </row>
    <row r="59" spans="12:15" ht="12.75">
      <c r="L59" s="2"/>
      <c r="M59" s="2"/>
      <c r="N59" s="2"/>
      <c r="O59" s="2"/>
    </row>
    <row r="60" spans="12:15" ht="12.75">
      <c r="L60" s="2"/>
      <c r="M60" s="2"/>
      <c r="N60" s="2"/>
      <c r="O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P63" s="2"/>
      <c r="Q63" s="2"/>
      <c r="R63" s="2"/>
      <c r="S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P66" s="2"/>
      <c r="Q66" s="2"/>
      <c r="R66" s="2"/>
      <c r="S66" s="2"/>
      <c r="T66" s="2"/>
    </row>
    <row r="67" ht="12.75">
      <c r="T67" s="2"/>
    </row>
    <row r="68" ht="12.75">
      <c r="T68" s="2"/>
    </row>
    <row r="69" ht="12.75">
      <c r="T6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6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10" width="8.7109375" style="0" hidden="1" customWidth="1"/>
    <col min="11" max="13" width="8.7109375" style="0" customWidth="1"/>
    <col min="14" max="14" width="7.7109375" style="0" bestFit="1" customWidth="1"/>
    <col min="15" max="15" width="9.7109375" style="0" bestFit="1" customWidth="1"/>
    <col min="16" max="16" width="9.00390625" style="0" customWidth="1"/>
    <col min="17" max="17" width="11.7109375" style="0" customWidth="1"/>
    <col min="18" max="18" width="10.7109375" style="0" bestFit="1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417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 t="s">
        <v>83</v>
      </c>
      <c r="E4" s="1" t="s">
        <v>83</v>
      </c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407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s="20" t="s">
        <v>604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179990.73</v>
      </c>
      <c r="M7" s="2">
        <v>195110</v>
      </c>
      <c r="N7" s="2">
        <v>97629</v>
      </c>
      <c r="O7" s="2">
        <f>+N7/$N$3*12</f>
        <v>195258</v>
      </c>
      <c r="P7" s="2">
        <v>203309.88</v>
      </c>
      <c r="Q7" s="2">
        <v>205261</v>
      </c>
      <c r="R7" s="2">
        <v>205260.68</v>
      </c>
      <c r="S7" s="2">
        <v>205260.68</v>
      </c>
      <c r="T7" s="75">
        <f>(S7-P7)/P7</f>
        <v>0.009595205112510953</v>
      </c>
      <c r="U7" s="30" t="s">
        <v>526</v>
      </c>
    </row>
    <row r="8" spans="1:20" ht="12.75" hidden="1">
      <c r="A8" t="s">
        <v>594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/>
      <c r="N8" s="2"/>
      <c r="O8" s="2">
        <f>+N8/$N$3*12</f>
        <v>0</v>
      </c>
      <c r="P8" s="2"/>
      <c r="Q8" s="2"/>
      <c r="R8" s="2"/>
      <c r="S8" s="2"/>
      <c r="T8" s="75" t="e">
        <f>(S8-P8)/P8</f>
        <v>#DIV/0!</v>
      </c>
    </row>
    <row r="9" spans="1:20" ht="12.75">
      <c r="A9" t="s">
        <v>448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17111</v>
      </c>
      <c r="M9" s="2">
        <v>18195</v>
      </c>
      <c r="N9" s="2">
        <v>9508</v>
      </c>
      <c r="O9" s="2">
        <f>+N9/$N$3*12</f>
        <v>19016</v>
      </c>
      <c r="P9" s="28">
        <v>19680</v>
      </c>
      <c r="Q9" s="28">
        <v>19840</v>
      </c>
      <c r="R9" s="28">
        <f>4*4960</f>
        <v>19840</v>
      </c>
      <c r="S9" s="28">
        <v>19840</v>
      </c>
      <c r="T9" s="75">
        <f>(S9-P9)/P9</f>
        <v>0.008130081300813009</v>
      </c>
    </row>
    <row r="10" spans="1:20" ht="12.75">
      <c r="A10" t="s">
        <v>113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13519.27</v>
      </c>
      <c r="M10" s="2">
        <v>14788</v>
      </c>
      <c r="N10" s="2">
        <v>6789</v>
      </c>
      <c r="O10" s="2">
        <f>+N10/$N$3*12</f>
        <v>13578</v>
      </c>
      <c r="P10" s="2">
        <v>15553.20582</v>
      </c>
      <c r="Q10" s="2">
        <v>15702</v>
      </c>
      <c r="R10" s="2">
        <f>R7*0.0765</f>
        <v>15702.442019999999</v>
      </c>
      <c r="S10" s="2">
        <f>S7*0.0765</f>
        <v>15702.442019999999</v>
      </c>
      <c r="T10" s="75">
        <f>(S10-P10)/P10</f>
        <v>0.00959520511251097</v>
      </c>
    </row>
    <row r="11" spans="1:20" ht="12.75">
      <c r="A11" t="s">
        <v>127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3983</v>
      </c>
      <c r="M11" s="2">
        <v>1538</v>
      </c>
      <c r="N11" s="2">
        <v>2564</v>
      </c>
      <c r="O11" s="2">
        <f>+N11/$N$3*12</f>
        <v>5128</v>
      </c>
      <c r="P11" s="2">
        <v>5300</v>
      </c>
      <c r="Q11" s="2">
        <v>6000</v>
      </c>
      <c r="R11" s="2">
        <v>6000</v>
      </c>
      <c r="S11" s="2">
        <v>6000</v>
      </c>
      <c r="T11" s="75">
        <f>(S11-P11)/P11</f>
        <v>0.1320754716981132</v>
      </c>
    </row>
    <row r="12" spans="2:20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"/>
      <c r="Q12" s="2"/>
      <c r="R12" s="13"/>
      <c r="S12" s="13"/>
      <c r="T12" s="75"/>
    </row>
    <row r="13" spans="1:20" ht="12.75">
      <c r="A13" t="s">
        <v>194</v>
      </c>
      <c r="B13" s="4">
        <v>52.1253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250</v>
      </c>
      <c r="O13" s="2"/>
      <c r="P13" s="19">
        <v>4000</v>
      </c>
      <c r="Q13" s="2">
        <v>9000</v>
      </c>
      <c r="R13" s="19">
        <v>9000</v>
      </c>
      <c r="S13" s="19">
        <v>9000</v>
      </c>
      <c r="T13" s="75"/>
    </row>
    <row r="14" spans="1:20" ht="12.75">
      <c r="A14" t="s">
        <v>180</v>
      </c>
      <c r="B14" s="4">
        <v>52.121</v>
      </c>
      <c r="C14" s="2"/>
      <c r="D14" s="2"/>
      <c r="E14" s="2"/>
      <c r="F14" s="2"/>
      <c r="G14" s="2"/>
      <c r="H14" s="2"/>
      <c r="I14" s="2"/>
      <c r="J14" s="2">
        <v>81</v>
      </c>
      <c r="K14" s="2"/>
      <c r="L14" s="2">
        <v>283</v>
      </c>
      <c r="M14" s="2"/>
      <c r="N14" s="2"/>
      <c r="O14" s="2">
        <f>+N14/$N$3*12</f>
        <v>0</v>
      </c>
      <c r="P14" s="13"/>
      <c r="Q14" s="2"/>
      <c r="R14" s="13"/>
      <c r="S14" s="13"/>
      <c r="T14" s="75"/>
    </row>
    <row r="15" spans="1:20" ht="12.75" hidden="1">
      <c r="A15" t="s">
        <v>613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3"/>
      <c r="Q15" s="2"/>
      <c r="R15" s="19"/>
      <c r="S15" s="19"/>
      <c r="T15" s="75" t="e">
        <f aca="true" t="shared" si="0" ref="T15:T22">(S15-P15)/P15</f>
        <v>#DIV/0!</v>
      </c>
    </row>
    <row r="16" spans="1:20" ht="12.75">
      <c r="A16" t="s">
        <v>727</v>
      </c>
      <c r="B16" s="4">
        <v>52.1316</v>
      </c>
      <c r="C16" s="2">
        <v>930</v>
      </c>
      <c r="D16" s="2">
        <v>553</v>
      </c>
      <c r="E16" s="2">
        <v>595</v>
      </c>
      <c r="F16" s="2">
        <v>650</v>
      </c>
      <c r="G16" s="2">
        <v>837</v>
      </c>
      <c r="H16" s="2">
        <v>686</v>
      </c>
      <c r="I16" s="2">
        <v>853</v>
      </c>
      <c r="J16" s="2">
        <v>219</v>
      </c>
      <c r="K16" s="2">
        <v>250</v>
      </c>
      <c r="L16" s="2"/>
      <c r="M16" s="2">
        <v>568</v>
      </c>
      <c r="N16" s="2">
        <v>37</v>
      </c>
      <c r="O16" s="2">
        <v>540</v>
      </c>
      <c r="P16" s="2">
        <v>540</v>
      </c>
      <c r="Q16" s="2">
        <v>540</v>
      </c>
      <c r="R16" s="2">
        <v>540</v>
      </c>
      <c r="S16" s="2">
        <v>540</v>
      </c>
      <c r="T16" s="75">
        <f t="shared" si="0"/>
        <v>0</v>
      </c>
    </row>
    <row r="17" spans="1:20" ht="12.75">
      <c r="A17" t="s">
        <v>115</v>
      </c>
      <c r="B17" s="4">
        <v>52.32</v>
      </c>
      <c r="C17" s="2">
        <v>1850</v>
      </c>
      <c r="D17" s="2">
        <v>2105</v>
      </c>
      <c r="E17" s="2">
        <v>2063</v>
      </c>
      <c r="F17" s="2">
        <v>2428</v>
      </c>
      <c r="G17" s="2">
        <v>1844</v>
      </c>
      <c r="H17" s="2">
        <v>1910</v>
      </c>
      <c r="I17" s="2">
        <v>1740</v>
      </c>
      <c r="J17" s="2">
        <v>2090</v>
      </c>
      <c r="K17" s="2">
        <v>1658</v>
      </c>
      <c r="L17" s="2">
        <v>1785</v>
      </c>
      <c r="M17" s="2">
        <v>2132</v>
      </c>
      <c r="N17" s="2">
        <v>997</v>
      </c>
      <c r="O17" s="2">
        <f>+N17/$N$3*12</f>
        <v>1994</v>
      </c>
      <c r="P17" s="19">
        <v>2100</v>
      </c>
      <c r="Q17" s="2">
        <v>2200</v>
      </c>
      <c r="R17" s="19">
        <v>2100</v>
      </c>
      <c r="S17" s="19">
        <v>2100</v>
      </c>
      <c r="T17" s="75">
        <f t="shared" si="0"/>
        <v>0</v>
      </c>
    </row>
    <row r="18" spans="1:21" ht="12.75">
      <c r="A18" t="s">
        <v>116</v>
      </c>
      <c r="B18" s="4">
        <v>52.321</v>
      </c>
      <c r="C18" s="2">
        <v>943</v>
      </c>
      <c r="D18" s="2">
        <v>691</v>
      </c>
      <c r="E18" s="2">
        <v>699</v>
      </c>
      <c r="F18" s="2">
        <v>728</v>
      </c>
      <c r="G18" s="2">
        <v>1173</v>
      </c>
      <c r="H18" s="2">
        <v>655</v>
      </c>
      <c r="I18" s="2">
        <v>718</v>
      </c>
      <c r="J18" s="2">
        <v>584</v>
      </c>
      <c r="K18" s="2">
        <v>757</v>
      </c>
      <c r="L18" s="2">
        <v>973</v>
      </c>
      <c r="M18" s="2">
        <v>977</v>
      </c>
      <c r="N18" s="2">
        <v>682</v>
      </c>
      <c r="O18" s="2">
        <f>+N18/$N$3*12</f>
        <v>1364</v>
      </c>
      <c r="P18" s="2">
        <v>1394</v>
      </c>
      <c r="Q18" s="2">
        <v>1600</v>
      </c>
      <c r="R18" s="2">
        <v>1600</v>
      </c>
      <c r="S18" s="2">
        <v>1600</v>
      </c>
      <c r="T18" s="75">
        <f t="shared" si="0"/>
        <v>0.14777618364418937</v>
      </c>
      <c r="U18" t="s">
        <v>463</v>
      </c>
    </row>
    <row r="19" spans="1:20" ht="12.75" hidden="1">
      <c r="A19" t="s">
        <v>137</v>
      </c>
      <c r="B19" s="4">
        <v>52.33</v>
      </c>
      <c r="C19" s="2"/>
      <c r="D19" s="2"/>
      <c r="E19" s="2"/>
      <c r="F19" s="2"/>
      <c r="G19" s="2">
        <v>20</v>
      </c>
      <c r="H19" s="2"/>
      <c r="I19" s="2"/>
      <c r="J19" s="2"/>
      <c r="K19" s="2"/>
      <c r="L19" s="2"/>
      <c r="M19" s="2"/>
      <c r="O19" s="2"/>
      <c r="P19" s="2"/>
      <c r="Q19" s="2"/>
      <c r="R19" s="2"/>
      <c r="S19" s="2"/>
      <c r="T19" s="75" t="e">
        <f t="shared" si="0"/>
        <v>#DIV/0!</v>
      </c>
    </row>
    <row r="20" spans="1:20" ht="12.75">
      <c r="A20" t="s">
        <v>350</v>
      </c>
      <c r="B20" s="4">
        <v>52.34</v>
      </c>
      <c r="C20" s="2"/>
      <c r="D20" s="2"/>
      <c r="E20" s="2"/>
      <c r="F20" s="2">
        <v>156</v>
      </c>
      <c r="G20" s="2"/>
      <c r="H20" s="2">
        <v>1010</v>
      </c>
      <c r="I20" s="2">
        <v>269</v>
      </c>
      <c r="J20" s="2">
        <v>306</v>
      </c>
      <c r="K20" s="2">
        <v>473</v>
      </c>
      <c r="L20" s="2">
        <v>516</v>
      </c>
      <c r="M20" s="2">
        <v>469</v>
      </c>
      <c r="N20" s="2">
        <v>185</v>
      </c>
      <c r="O20" s="2">
        <f>+N20/$N$3*12</f>
        <v>370</v>
      </c>
      <c r="P20" s="2">
        <v>1000</v>
      </c>
      <c r="Q20" s="2">
        <v>1000</v>
      </c>
      <c r="R20" s="2">
        <v>500</v>
      </c>
      <c r="S20" s="2">
        <v>500</v>
      </c>
      <c r="T20" s="75">
        <f t="shared" si="0"/>
        <v>-0.5</v>
      </c>
    </row>
    <row r="21" spans="1:20" ht="12.75">
      <c r="A21" t="s">
        <v>128</v>
      </c>
      <c r="B21" s="4">
        <v>52.35</v>
      </c>
      <c r="C21" s="2">
        <v>1147</v>
      </c>
      <c r="D21" s="2">
        <v>1230</v>
      </c>
      <c r="E21" s="2">
        <v>1380</v>
      </c>
      <c r="F21" s="2">
        <v>1340</v>
      </c>
      <c r="G21" s="2">
        <v>1256</v>
      </c>
      <c r="H21" s="2">
        <v>695</v>
      </c>
      <c r="I21" s="2">
        <f>1317+43</f>
        <v>1360</v>
      </c>
      <c r="J21" s="2">
        <v>1061</v>
      </c>
      <c r="K21" s="2">
        <v>1602</v>
      </c>
      <c r="L21" s="2">
        <v>672</v>
      </c>
      <c r="M21" s="2">
        <v>1238</v>
      </c>
      <c r="N21" s="2">
        <v>0</v>
      </c>
      <c r="O21" s="2">
        <v>1300</v>
      </c>
      <c r="P21" s="2">
        <v>1300</v>
      </c>
      <c r="Q21" s="2">
        <v>2100</v>
      </c>
      <c r="R21" s="2">
        <v>1300</v>
      </c>
      <c r="S21" s="2">
        <v>1300</v>
      </c>
      <c r="T21" s="75">
        <f t="shared" si="0"/>
        <v>0</v>
      </c>
    </row>
    <row r="22" spans="1:20" ht="12.75">
      <c r="A22" t="s">
        <v>118</v>
      </c>
      <c r="B22" s="4">
        <v>52.3602</v>
      </c>
      <c r="C22" s="2">
        <v>585</v>
      </c>
      <c r="D22" s="2">
        <v>615</v>
      </c>
      <c r="E22" s="2">
        <v>200</v>
      </c>
      <c r="F22" s="2">
        <v>200</v>
      </c>
      <c r="G22" s="2">
        <v>475</v>
      </c>
      <c r="H22" s="2">
        <v>400</v>
      </c>
      <c r="I22" s="2">
        <v>250</v>
      </c>
      <c r="J22" s="2">
        <v>250</v>
      </c>
      <c r="K22" s="2">
        <v>500</v>
      </c>
      <c r="L22" s="2">
        <v>250</v>
      </c>
      <c r="M22" s="2">
        <v>200</v>
      </c>
      <c r="N22" s="2">
        <v>200</v>
      </c>
      <c r="O22" s="2">
        <f>+N22/$N$3*12</f>
        <v>400</v>
      </c>
      <c r="P22" s="2">
        <v>500</v>
      </c>
      <c r="Q22" s="2">
        <v>250</v>
      </c>
      <c r="R22" s="2">
        <v>250</v>
      </c>
      <c r="S22" s="2">
        <v>250</v>
      </c>
      <c r="T22" s="75">
        <f t="shared" si="0"/>
        <v>-0.5</v>
      </c>
    </row>
    <row r="23" spans="1:20" ht="12.75" hidden="1">
      <c r="A23" t="s">
        <v>614</v>
      </c>
      <c r="B23" s="4">
        <v>52.363</v>
      </c>
      <c r="C23" s="2"/>
      <c r="D23" s="2"/>
      <c r="E23" s="2">
        <v>194</v>
      </c>
      <c r="F23" s="2"/>
      <c r="G23" s="2"/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75"/>
    </row>
    <row r="24" spans="1:20" ht="12.75">
      <c r="A24" t="s">
        <v>129</v>
      </c>
      <c r="B24" s="4">
        <v>52.37</v>
      </c>
      <c r="C24" s="2"/>
      <c r="D24" s="2"/>
      <c r="E24" s="2">
        <v>50</v>
      </c>
      <c r="F24" s="2">
        <v>225</v>
      </c>
      <c r="G24" s="2">
        <v>495</v>
      </c>
      <c r="H24" s="2">
        <v>280</v>
      </c>
      <c r="I24" s="2"/>
      <c r="J24" s="2"/>
      <c r="K24" s="2">
        <v>885</v>
      </c>
      <c r="L24" s="2">
        <v>425</v>
      </c>
      <c r="M24" s="2">
        <v>300</v>
      </c>
      <c r="N24" s="2">
        <v>200</v>
      </c>
      <c r="O24" s="2">
        <v>550</v>
      </c>
      <c r="P24" s="2">
        <v>550</v>
      </c>
      <c r="Q24" s="2">
        <v>550</v>
      </c>
      <c r="R24" s="2">
        <v>550</v>
      </c>
      <c r="S24" s="2">
        <v>550</v>
      </c>
      <c r="T24" s="75"/>
    </row>
    <row r="25" spans="1:20" ht="12.75">
      <c r="A25" t="s">
        <v>900</v>
      </c>
      <c r="B25" s="4">
        <v>53.1355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304</v>
      </c>
      <c r="N25" s="2">
        <v>0</v>
      </c>
      <c r="O25" s="2"/>
      <c r="P25" s="2"/>
      <c r="Q25" s="2">
        <v>350</v>
      </c>
      <c r="R25" s="2">
        <v>350</v>
      </c>
      <c r="S25" s="2">
        <v>350</v>
      </c>
      <c r="T25" s="75"/>
    </row>
    <row r="26" spans="1:21" ht="12.75">
      <c r="A26" t="s">
        <v>123</v>
      </c>
      <c r="B26" s="4">
        <v>53.171</v>
      </c>
      <c r="C26" s="2">
        <v>2174</v>
      </c>
      <c r="D26" s="2">
        <v>1318</v>
      </c>
      <c r="E26" s="2">
        <v>1660</v>
      </c>
      <c r="F26" s="2">
        <v>1064</v>
      </c>
      <c r="G26" s="2">
        <v>1744</v>
      </c>
      <c r="H26" s="2">
        <v>1424</v>
      </c>
      <c r="I26" s="2">
        <v>1981</v>
      </c>
      <c r="J26" s="2">
        <v>1873</v>
      </c>
      <c r="K26" s="2">
        <f>2511+148</f>
        <v>2659</v>
      </c>
      <c r="L26" s="2">
        <f>1936+10</f>
        <v>1946</v>
      </c>
      <c r="M26" s="2">
        <v>1861</v>
      </c>
      <c r="N26" s="2">
        <v>76</v>
      </c>
      <c r="O26" s="2">
        <v>2000</v>
      </c>
      <c r="P26" s="2">
        <v>3000</v>
      </c>
      <c r="Q26" s="2">
        <v>3000</v>
      </c>
      <c r="R26" s="2">
        <v>2000</v>
      </c>
      <c r="S26" s="2">
        <v>2000</v>
      </c>
      <c r="T26" s="75">
        <f>(S26-P26)/P26</f>
        <v>-0.3333333333333333</v>
      </c>
      <c r="U26" s="10"/>
    </row>
    <row r="27" spans="1:21" ht="12.75">
      <c r="A27" t="s">
        <v>346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1779</v>
      </c>
      <c r="R27" s="2"/>
      <c r="S27" s="2"/>
      <c r="T27" s="75"/>
      <c r="U27" s="10" t="s">
        <v>464</v>
      </c>
    </row>
    <row r="28" spans="1:21" ht="12.75">
      <c r="A28" t="s">
        <v>567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5"/>
      <c r="U28" s="10"/>
    </row>
    <row r="29" spans="1:20" ht="12.75" hidden="1">
      <c r="A29" t="s">
        <v>138</v>
      </c>
      <c r="B29" s="4">
        <v>54.25</v>
      </c>
      <c r="C29" s="2"/>
      <c r="D29" s="2"/>
      <c r="E29" s="2">
        <v>222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</row>
    <row r="30" spans="1:20" ht="12.75" hidden="1">
      <c r="A30" t="s">
        <v>346</v>
      </c>
      <c r="B30" s="4">
        <v>54.25</v>
      </c>
      <c r="C30" s="2"/>
      <c r="D30" s="2"/>
      <c r="E30" s="2"/>
      <c r="F30" s="2">
        <v>697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5"/>
    </row>
    <row r="31" spans="1:20" ht="12.75">
      <c r="A31" t="s">
        <v>509</v>
      </c>
      <c r="B31" s="4">
        <v>54.24</v>
      </c>
      <c r="C31" s="2"/>
      <c r="D31" s="2">
        <v>485</v>
      </c>
      <c r="E31" s="2"/>
      <c r="F31" s="2"/>
      <c r="G31" s="2">
        <v>723</v>
      </c>
      <c r="H31" s="2">
        <v>517</v>
      </c>
      <c r="I31" s="2">
        <v>549</v>
      </c>
      <c r="J31" s="2">
        <v>6495</v>
      </c>
      <c r="K31" s="2"/>
      <c r="L31" s="2">
        <v>292</v>
      </c>
      <c r="M31" s="2"/>
      <c r="N31" s="2"/>
      <c r="O31" s="2"/>
      <c r="P31" s="2"/>
      <c r="Q31" s="2"/>
      <c r="R31" s="2"/>
      <c r="S31" s="2"/>
      <c r="T31" s="75"/>
    </row>
    <row r="32" spans="1:20" ht="12.75" hidden="1">
      <c r="A32" t="s">
        <v>292</v>
      </c>
      <c r="B32" s="4" t="s">
        <v>92</v>
      </c>
      <c r="C32" s="2">
        <v>368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75"/>
    </row>
    <row r="33" spans="2:20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8"/>
    </row>
    <row r="34" spans="1:20" ht="12.75">
      <c r="A34" s="6" t="s">
        <v>91</v>
      </c>
      <c r="B34" s="6"/>
      <c r="C34" s="7">
        <f>SUM(C7:C32)</f>
        <v>110541</v>
      </c>
      <c r="D34" s="8">
        <f>SUM(D7:D32)</f>
        <v>115144</v>
      </c>
      <c r="E34" s="8">
        <f>SUM(E7:E33)</f>
        <v>124280</v>
      </c>
      <c r="F34" s="8">
        <f>SUM(F7:F33)</f>
        <v>145209</v>
      </c>
      <c r="G34" s="8">
        <f>SUM(G7:G33)</f>
        <v>146932</v>
      </c>
      <c r="H34" s="8">
        <f>SUM(H7:H33)</f>
        <v>157295</v>
      </c>
      <c r="I34" s="8">
        <f>SUM(I7:I33)</f>
        <v>165730</v>
      </c>
      <c r="J34" s="8">
        <v>192218</v>
      </c>
      <c r="K34" s="8">
        <f aca="true" t="shared" si="1" ref="K34:S34">SUM(K7:K33)</f>
        <v>208771</v>
      </c>
      <c r="L34" s="8">
        <v>221746</v>
      </c>
      <c r="M34" s="8">
        <v>237680</v>
      </c>
      <c r="N34" s="8">
        <f t="shared" si="1"/>
        <v>119117</v>
      </c>
      <c r="O34" s="8">
        <f>SUM(O7:O33)</f>
        <v>241498</v>
      </c>
      <c r="P34" s="8">
        <f>SUM(P7:P33)</f>
        <v>258227.08582</v>
      </c>
      <c r="Q34" s="8">
        <f t="shared" si="1"/>
        <v>269172</v>
      </c>
      <c r="R34" s="8">
        <f>SUM(R7:R33)</f>
        <v>264993.12202</v>
      </c>
      <c r="S34" s="8">
        <f t="shared" si="1"/>
        <v>264993.12202</v>
      </c>
      <c r="T34" s="48">
        <f>(S34-P34)/P34</f>
        <v>0.026201884200158388</v>
      </c>
    </row>
    <row r="36" spans="16:18" ht="12.75">
      <c r="P36" s="20" t="s">
        <v>445</v>
      </c>
      <c r="Q36" s="20"/>
      <c r="R36" s="52">
        <f>Q34-R34</f>
        <v>4178.87797999999</v>
      </c>
    </row>
    <row r="37" spans="16:18" ht="12.75">
      <c r="P37" s="20" t="s">
        <v>668</v>
      </c>
      <c r="Q37" s="20"/>
      <c r="R37" s="52">
        <f>P34-R34</f>
        <v>-6766.036200000002</v>
      </c>
    </row>
    <row r="38" spans="16:18" ht="12.75">
      <c r="P38" s="20" t="s">
        <v>397</v>
      </c>
      <c r="Q38" s="20"/>
      <c r="R38" s="52">
        <f>R34-S34</f>
        <v>0</v>
      </c>
    </row>
    <row r="39" spans="1:16" ht="12.75">
      <c r="A39" t="s">
        <v>505</v>
      </c>
      <c r="I39" s="39">
        <f>131729+13333</f>
        <v>145062</v>
      </c>
      <c r="J39" s="39">
        <v>195037.34</v>
      </c>
      <c r="K39" s="39">
        <v>200573</v>
      </c>
      <c r="L39" s="39">
        <v>227243</v>
      </c>
      <c r="M39" s="159">
        <v>251439</v>
      </c>
      <c r="N39" s="18">
        <v>99977</v>
      </c>
      <c r="O39" s="18">
        <v>199954</v>
      </c>
      <c r="P39" s="18">
        <v>250000</v>
      </c>
    </row>
    <row r="40" spans="1:16" ht="12.75">
      <c r="A40" t="s">
        <v>13</v>
      </c>
      <c r="B40" t="s">
        <v>102</v>
      </c>
      <c r="K40" s="60">
        <f aca="true" t="shared" si="2" ref="K40:P40">K34/K39</f>
        <v>1.0408728991439526</v>
      </c>
      <c r="L40" s="60">
        <f t="shared" si="2"/>
        <v>0.9758100359527027</v>
      </c>
      <c r="M40" s="60">
        <f t="shared" si="2"/>
        <v>0.9452789742243646</v>
      </c>
      <c r="N40" s="60">
        <f t="shared" si="2"/>
        <v>1.1914440321273894</v>
      </c>
      <c r="O40" s="60">
        <f t="shared" si="2"/>
        <v>1.207767786590916</v>
      </c>
      <c r="P40" s="60">
        <f t="shared" si="2"/>
        <v>1.0329083432800001</v>
      </c>
    </row>
    <row r="44" ht="12.75">
      <c r="A44" t="s">
        <v>7</v>
      </c>
    </row>
    <row r="45" ht="12.75">
      <c r="A45" t="s">
        <v>12</v>
      </c>
    </row>
    <row r="46" ht="12.75">
      <c r="A46" s="20" t="s">
        <v>962</v>
      </c>
    </row>
    <row r="58" ht="12.75">
      <c r="T58" s="2"/>
    </row>
    <row r="59" ht="12.75">
      <c r="T59" s="2"/>
    </row>
    <row r="60" ht="12.75">
      <c r="T60" s="2"/>
    </row>
    <row r="61" ht="12.75"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1" r:id="rId3"/>
  <headerFooter alignWithMargins="0">
    <oddFooter>&amp;L&amp;F
&amp;A&amp;CPage &amp;P of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241"/>
  <sheetViews>
    <sheetView tabSelected="1" workbookViewId="0" topLeftCell="B2">
      <pane ySplit="1080" topLeftCell="BM104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5.7109375" style="20" customWidth="1"/>
    <col min="2" max="2" width="7.421875" style="20" customWidth="1"/>
    <col min="3" max="6" width="8.8515625" style="20" hidden="1" customWidth="1"/>
    <col min="7" max="9" width="8.8515625" style="20" bestFit="1" customWidth="1"/>
    <col min="10" max="10" width="9.8515625" style="20" bestFit="1" customWidth="1"/>
    <col min="11" max="11" width="8.8515625" style="20" bestFit="1" customWidth="1"/>
    <col min="12" max="13" width="9.8515625" style="20" customWidth="1"/>
    <col min="14" max="14" width="10.8515625" style="20" bestFit="1" customWidth="1"/>
    <col min="15" max="15" width="10.421875" style="20" bestFit="1" customWidth="1"/>
    <col min="16" max="17" width="10.7109375" style="20" customWidth="1"/>
    <col min="18" max="18" width="10.00390625" style="20" customWidth="1"/>
    <col min="19" max="19" width="9.8515625" style="20" customWidth="1"/>
    <col min="20" max="20" width="7.28125" style="20" hidden="1" customWidth="1"/>
    <col min="21" max="21" width="12.57421875" style="20" hidden="1" customWidth="1"/>
    <col min="22" max="22" width="14.421875" style="20" customWidth="1"/>
    <col min="23" max="16384" width="9.140625" style="20" customWidth="1"/>
  </cols>
  <sheetData>
    <row r="1" ht="12.75">
      <c r="T1" s="20" t="s">
        <v>734</v>
      </c>
    </row>
    <row r="2" spans="1:21" ht="12.75">
      <c r="A2" s="20" t="s">
        <v>81</v>
      </c>
      <c r="C2" s="24" t="s">
        <v>83</v>
      </c>
      <c r="D2" s="24"/>
      <c r="E2" s="24"/>
      <c r="F2" s="109"/>
      <c r="G2" s="110"/>
      <c r="H2" s="111"/>
      <c r="I2" s="24"/>
      <c r="J2" s="24"/>
      <c r="K2" s="24"/>
      <c r="L2" s="24"/>
      <c r="M2" s="24"/>
      <c r="N2" s="47">
        <v>11</v>
      </c>
      <c r="P2" s="24"/>
      <c r="Q2" s="24"/>
      <c r="R2" s="24"/>
      <c r="S2" s="24" t="s">
        <v>496</v>
      </c>
      <c r="T2" s="24" t="s">
        <v>451</v>
      </c>
      <c r="U2" s="24" t="s">
        <v>451</v>
      </c>
    </row>
    <row r="3" spans="1:21" ht="12.75">
      <c r="A3" s="20" t="s">
        <v>82</v>
      </c>
      <c r="B3" s="20">
        <v>100</v>
      </c>
      <c r="C3" s="24" t="s">
        <v>84</v>
      </c>
      <c r="D3" s="24" t="s">
        <v>386</v>
      </c>
      <c r="E3" s="24" t="s">
        <v>386</v>
      </c>
      <c r="F3" s="24" t="s">
        <v>386</v>
      </c>
      <c r="G3" s="24" t="s">
        <v>386</v>
      </c>
      <c r="H3" s="24" t="s">
        <v>386</v>
      </c>
      <c r="I3" s="24" t="s">
        <v>386</v>
      </c>
      <c r="J3" s="24" t="s">
        <v>386</v>
      </c>
      <c r="K3" s="24" t="s">
        <v>386</v>
      </c>
      <c r="L3" s="24" t="s">
        <v>386</v>
      </c>
      <c r="M3" s="24" t="s">
        <v>386</v>
      </c>
      <c r="N3" s="24" t="s">
        <v>385</v>
      </c>
      <c r="O3" s="24" t="s">
        <v>406</v>
      </c>
      <c r="P3" s="24" t="s">
        <v>316</v>
      </c>
      <c r="Q3" s="24" t="s">
        <v>24</v>
      </c>
      <c r="R3" s="24" t="s">
        <v>392</v>
      </c>
      <c r="S3" s="24" t="s">
        <v>382</v>
      </c>
      <c r="T3" s="24" t="s">
        <v>388</v>
      </c>
      <c r="U3" s="24" t="s">
        <v>388</v>
      </c>
    </row>
    <row r="4" spans="1:21" ht="12.75">
      <c r="A4" s="42" t="s">
        <v>378</v>
      </c>
      <c r="C4" s="24">
        <v>1999</v>
      </c>
      <c r="D4" s="21">
        <v>2000</v>
      </c>
      <c r="E4" s="21">
        <v>2001</v>
      </c>
      <c r="F4" s="21">
        <v>2002</v>
      </c>
      <c r="G4" s="21">
        <v>2003</v>
      </c>
      <c r="H4" s="21">
        <v>2004</v>
      </c>
      <c r="I4" s="21">
        <v>2005</v>
      </c>
      <c r="J4" s="21">
        <v>2006</v>
      </c>
      <c r="K4" s="21">
        <v>2007</v>
      </c>
      <c r="L4" s="21">
        <v>2008</v>
      </c>
      <c r="M4" s="21">
        <v>2009</v>
      </c>
      <c r="N4" s="21">
        <v>2010</v>
      </c>
      <c r="O4" s="21">
        <v>2010</v>
      </c>
      <c r="P4" s="21">
        <v>2010</v>
      </c>
      <c r="Q4" s="21" t="s">
        <v>25</v>
      </c>
      <c r="R4" s="21">
        <v>2011</v>
      </c>
      <c r="S4" s="21">
        <v>2011</v>
      </c>
      <c r="T4" s="151" t="s">
        <v>881</v>
      </c>
      <c r="U4" s="21" t="s">
        <v>882</v>
      </c>
    </row>
    <row r="5" spans="1:22" ht="12.75">
      <c r="A5" s="37" t="s">
        <v>633</v>
      </c>
      <c r="B5" s="38">
        <v>31.11</v>
      </c>
      <c r="C5" s="39">
        <v>2407952</v>
      </c>
      <c r="D5" s="39">
        <v>2464262</v>
      </c>
      <c r="E5" s="39">
        <v>2695752</v>
      </c>
      <c r="F5" s="39">
        <v>3020113</v>
      </c>
      <c r="G5" s="39">
        <v>3241429</v>
      </c>
      <c r="H5" s="39">
        <v>3291749</v>
      </c>
      <c r="I5" s="39">
        <f>3332239+15792</f>
        <v>3348031</v>
      </c>
      <c r="J5" s="39">
        <v>3455420.43</v>
      </c>
      <c r="K5" s="39">
        <v>3398663.65</v>
      </c>
      <c r="L5" s="39">
        <v>3486298</v>
      </c>
      <c r="M5" s="39">
        <v>3624331</v>
      </c>
      <c r="N5" s="28">
        <v>3680036</v>
      </c>
      <c r="O5" s="40">
        <v>3700000</v>
      </c>
      <c r="P5" s="22">
        <v>4000000</v>
      </c>
      <c r="Q5" s="22">
        <f>O5-P5</f>
        <v>-300000</v>
      </c>
      <c r="R5" s="22">
        <v>3700000</v>
      </c>
      <c r="S5" s="22">
        <v>3700000</v>
      </c>
      <c r="T5" s="108">
        <f aca="true" t="shared" si="0" ref="T5:T23">(R5-P5)/P5</f>
        <v>-0.075</v>
      </c>
      <c r="U5" s="84">
        <f aca="true" t="shared" si="1" ref="U5:U11">(S5-P5)/P5</f>
        <v>-0.075</v>
      </c>
      <c r="V5" s="100">
        <v>0.949</v>
      </c>
    </row>
    <row r="6" spans="1:22" ht="12.75">
      <c r="A6" s="37" t="s">
        <v>634</v>
      </c>
      <c r="B6" s="38">
        <v>31.112</v>
      </c>
      <c r="C6" s="39">
        <v>2695</v>
      </c>
      <c r="D6" s="39">
        <v>1788</v>
      </c>
      <c r="E6" s="39">
        <v>1226</v>
      </c>
      <c r="F6" s="39">
        <v>812</v>
      </c>
      <c r="G6" s="39">
        <v>1701</v>
      </c>
      <c r="H6" s="39">
        <v>1322</v>
      </c>
      <c r="I6" s="39">
        <v>2245</v>
      </c>
      <c r="J6" s="39">
        <v>1481</v>
      </c>
      <c r="K6" s="39">
        <v>2131</v>
      </c>
      <c r="L6" s="39">
        <v>2132</v>
      </c>
      <c r="M6" s="39">
        <v>1324</v>
      </c>
      <c r="N6" s="28">
        <v>1138</v>
      </c>
      <c r="O6" s="40">
        <v>1300</v>
      </c>
      <c r="P6" s="39">
        <v>1300</v>
      </c>
      <c r="Q6" s="22">
        <f aca="true" t="shared" si="2" ref="Q6:Q70">O6-P6</f>
        <v>0</v>
      </c>
      <c r="R6" s="39">
        <v>1300</v>
      </c>
      <c r="S6" s="39">
        <v>1300</v>
      </c>
      <c r="T6" s="108">
        <f t="shared" si="0"/>
        <v>0</v>
      </c>
      <c r="U6" s="84">
        <f t="shared" si="1"/>
        <v>0</v>
      </c>
      <c r="V6" s="99">
        <v>0.9</v>
      </c>
    </row>
    <row r="7" spans="1:21" ht="12.75">
      <c r="A7" s="37" t="s">
        <v>493</v>
      </c>
      <c r="B7" s="38">
        <v>31.12</v>
      </c>
      <c r="C7" s="39">
        <v>115514</v>
      </c>
      <c r="D7" s="39">
        <v>202282</v>
      </c>
      <c r="E7" s="39">
        <v>137834</v>
      </c>
      <c r="F7" s="39">
        <v>95557</v>
      </c>
      <c r="G7" s="39">
        <v>36183</v>
      </c>
      <c r="H7" s="39">
        <v>5863</v>
      </c>
      <c r="I7" s="39">
        <f>5645+2518</f>
        <v>8163</v>
      </c>
      <c r="J7" s="39">
        <f>11780.67+89</f>
        <v>11869.67</v>
      </c>
      <c r="K7" s="39">
        <v>2072</v>
      </c>
      <c r="L7" s="39">
        <v>615</v>
      </c>
      <c r="M7" s="39">
        <v>177</v>
      </c>
      <c r="N7" s="28">
        <v>537</v>
      </c>
      <c r="O7" s="28">
        <v>600</v>
      </c>
      <c r="P7" s="39">
        <v>500</v>
      </c>
      <c r="Q7" s="22">
        <f t="shared" si="2"/>
        <v>100</v>
      </c>
      <c r="R7" s="39">
        <v>600</v>
      </c>
      <c r="S7" s="39">
        <v>600</v>
      </c>
      <c r="T7" s="108">
        <f t="shared" si="0"/>
        <v>0.2</v>
      </c>
      <c r="U7" s="84">
        <f t="shared" si="1"/>
        <v>0.2</v>
      </c>
    </row>
    <row r="8" spans="1:21" ht="12.75">
      <c r="A8" s="37" t="s">
        <v>631</v>
      </c>
      <c r="B8" s="38">
        <v>31.124</v>
      </c>
      <c r="C8" s="39"/>
      <c r="D8" s="39"/>
      <c r="E8" s="39">
        <v>6428</v>
      </c>
      <c r="F8" s="39">
        <v>12393</v>
      </c>
      <c r="G8" s="39">
        <v>1607</v>
      </c>
      <c r="H8" s="39">
        <v>2785</v>
      </c>
      <c r="I8" s="39">
        <f>1344+4</f>
        <v>1348</v>
      </c>
      <c r="J8" s="39">
        <v>738</v>
      </c>
      <c r="K8" s="39">
        <v>507</v>
      </c>
      <c r="L8" s="39">
        <v>409</v>
      </c>
      <c r="M8" s="39">
        <v>288</v>
      </c>
      <c r="N8" s="28">
        <v>298</v>
      </c>
      <c r="O8" s="28">
        <v>300</v>
      </c>
      <c r="P8" s="39">
        <v>300</v>
      </c>
      <c r="Q8" s="22">
        <f t="shared" si="2"/>
        <v>0</v>
      </c>
      <c r="R8" s="39">
        <v>300</v>
      </c>
      <c r="S8" s="39">
        <v>300</v>
      </c>
      <c r="T8" s="108">
        <f t="shared" si="0"/>
        <v>0</v>
      </c>
      <c r="U8" s="84">
        <f t="shared" si="1"/>
        <v>0</v>
      </c>
    </row>
    <row r="9" spans="1:22" ht="12.75">
      <c r="A9" s="37" t="s">
        <v>635</v>
      </c>
      <c r="B9" s="38">
        <v>31.131</v>
      </c>
      <c r="C9" s="39">
        <v>270117</v>
      </c>
      <c r="D9" s="39">
        <v>370437</v>
      </c>
      <c r="E9" s="39">
        <v>315974</v>
      </c>
      <c r="F9" s="39">
        <v>368229</v>
      </c>
      <c r="G9" s="39">
        <v>293803</v>
      </c>
      <c r="H9" s="39">
        <v>268533</v>
      </c>
      <c r="I9" s="39">
        <f>294599+9704</f>
        <v>304303</v>
      </c>
      <c r="J9" s="39">
        <v>271769.89</v>
      </c>
      <c r="K9" s="39">
        <v>277015</v>
      </c>
      <c r="L9" s="39">
        <v>284887</v>
      </c>
      <c r="M9" s="39">
        <v>254691</v>
      </c>
      <c r="N9" s="28">
        <v>214559</v>
      </c>
      <c r="O9" s="28">
        <f>(12/$N$2)*N9</f>
        <v>234064.36363636362</v>
      </c>
      <c r="P9" s="39">
        <v>250000</v>
      </c>
      <c r="Q9" s="22">
        <f t="shared" si="2"/>
        <v>-15935.636363636382</v>
      </c>
      <c r="R9" s="39">
        <v>240000</v>
      </c>
      <c r="S9" s="39">
        <v>240000</v>
      </c>
      <c r="T9" s="108">
        <f t="shared" si="0"/>
        <v>-0.04</v>
      </c>
      <c r="U9" s="84">
        <f t="shared" si="1"/>
        <v>-0.04</v>
      </c>
      <c r="V9" s="99">
        <v>1</v>
      </c>
    </row>
    <row r="10" spans="1:22" ht="12.75">
      <c r="A10" s="37" t="s">
        <v>636</v>
      </c>
      <c r="B10" s="38">
        <v>31.132</v>
      </c>
      <c r="C10" s="39">
        <v>11097</v>
      </c>
      <c r="D10" s="39">
        <v>20186</v>
      </c>
      <c r="E10" s="39">
        <v>17238</v>
      </c>
      <c r="F10" s="39">
        <v>22961</v>
      </c>
      <c r="G10" s="39">
        <v>7704</v>
      </c>
      <c r="H10" s="39">
        <v>6214</v>
      </c>
      <c r="I10" s="39">
        <f>23619+251</f>
        <v>23870</v>
      </c>
      <c r="J10" s="39">
        <v>18327.62</v>
      </c>
      <c r="K10" s="39">
        <v>19889</v>
      </c>
      <c r="L10" s="39">
        <v>20194</v>
      </c>
      <c r="M10" s="39">
        <v>23395</v>
      </c>
      <c r="N10" s="28">
        <v>37330</v>
      </c>
      <c r="O10" s="28">
        <f>(12/$N$2)*N10</f>
        <v>40723.63636363636</v>
      </c>
      <c r="P10" s="39">
        <v>21000</v>
      </c>
      <c r="Q10" s="22">
        <f t="shared" si="2"/>
        <v>19723.63636363636</v>
      </c>
      <c r="R10" s="39">
        <v>43000</v>
      </c>
      <c r="S10" s="39">
        <v>43000</v>
      </c>
      <c r="T10" s="108">
        <f t="shared" si="0"/>
        <v>1.0476190476190477</v>
      </c>
      <c r="U10" s="84">
        <f t="shared" si="1"/>
        <v>1.0476190476190477</v>
      </c>
      <c r="V10" s="99">
        <v>0.66</v>
      </c>
    </row>
    <row r="11" spans="1:22" ht="12.75">
      <c r="A11" s="37" t="s">
        <v>494</v>
      </c>
      <c r="B11" s="38">
        <v>31.1321</v>
      </c>
      <c r="C11" s="39">
        <v>401</v>
      </c>
      <c r="D11" s="39">
        <v>8531</v>
      </c>
      <c r="E11" s="39">
        <v>9056</v>
      </c>
      <c r="F11" s="39">
        <v>4758</v>
      </c>
      <c r="G11" s="39">
        <v>2966</v>
      </c>
      <c r="H11" s="39">
        <v>31976</v>
      </c>
      <c r="I11" s="39">
        <f>1711+26</f>
        <v>1737</v>
      </c>
      <c r="J11" s="39">
        <v>654</v>
      </c>
      <c r="K11" s="39">
        <v>444</v>
      </c>
      <c r="L11" s="39">
        <v>1610</v>
      </c>
      <c r="M11" s="39">
        <v>1340</v>
      </c>
      <c r="N11" s="28">
        <v>0</v>
      </c>
      <c r="O11" s="28">
        <v>1300</v>
      </c>
      <c r="P11" s="39">
        <v>1300</v>
      </c>
      <c r="Q11" s="22">
        <f t="shared" si="2"/>
        <v>0</v>
      </c>
      <c r="R11" s="39">
        <v>1300</v>
      </c>
      <c r="S11" s="39">
        <v>1300</v>
      </c>
      <c r="T11" s="108">
        <f t="shared" si="0"/>
        <v>0</v>
      </c>
      <c r="U11" s="84">
        <f t="shared" si="1"/>
        <v>0</v>
      </c>
      <c r="V11" s="4"/>
    </row>
    <row r="12" spans="1:22" ht="12.75" hidden="1">
      <c r="A12" s="37" t="s">
        <v>743</v>
      </c>
      <c r="B12" s="38">
        <v>31.1322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>
        <v>0</v>
      </c>
      <c r="N12" s="28"/>
      <c r="O12" s="28"/>
      <c r="P12" s="39"/>
      <c r="Q12" s="22">
        <f t="shared" si="2"/>
        <v>0</v>
      </c>
      <c r="R12" s="39"/>
      <c r="S12" s="39"/>
      <c r="T12" s="108" t="e">
        <f t="shared" si="0"/>
        <v>#DIV/0!</v>
      </c>
      <c r="U12" s="84"/>
      <c r="V12" s="4"/>
    </row>
    <row r="13" spans="1:22" ht="12.75">
      <c r="A13" s="37" t="s">
        <v>620</v>
      </c>
      <c r="B13" s="38">
        <v>31.134</v>
      </c>
      <c r="C13" s="39">
        <v>82450</v>
      </c>
      <c r="D13" s="39">
        <v>92077</v>
      </c>
      <c r="E13" s="39">
        <v>124417</v>
      </c>
      <c r="F13" s="39">
        <v>145359</v>
      </c>
      <c r="G13" s="39">
        <v>192419</v>
      </c>
      <c r="H13" s="39">
        <v>163471</v>
      </c>
      <c r="I13" s="39">
        <f>165961+6033</f>
        <v>171994</v>
      </c>
      <c r="J13" s="39">
        <v>166525.85</v>
      </c>
      <c r="K13" s="39">
        <v>181152</v>
      </c>
      <c r="L13" s="39">
        <v>137203</v>
      </c>
      <c r="M13" s="39">
        <v>114878</v>
      </c>
      <c r="N13" s="28">
        <v>86462</v>
      </c>
      <c r="O13" s="28">
        <f>(12/$N$2)*N13</f>
        <v>94322.18181818181</v>
      </c>
      <c r="P13" s="39">
        <v>111000</v>
      </c>
      <c r="Q13" s="22">
        <f t="shared" si="2"/>
        <v>-16677.81818181819</v>
      </c>
      <c r="R13" s="39">
        <v>111000</v>
      </c>
      <c r="S13" s="39">
        <v>111000</v>
      </c>
      <c r="T13" s="108">
        <f t="shared" si="0"/>
        <v>0</v>
      </c>
      <c r="U13" s="84">
        <f>(S13-P13)/P13</f>
        <v>0</v>
      </c>
      <c r="V13" s="4"/>
    </row>
    <row r="14" spans="1:22" ht="12.75">
      <c r="A14" s="37" t="s">
        <v>495</v>
      </c>
      <c r="B14" s="38">
        <v>31.135</v>
      </c>
      <c r="C14" s="39"/>
      <c r="D14" s="39">
        <v>1240</v>
      </c>
      <c r="E14" s="39">
        <v>1337</v>
      </c>
      <c r="F14" s="39">
        <v>1553</v>
      </c>
      <c r="G14" s="39">
        <v>1538</v>
      </c>
      <c r="H14" s="39">
        <v>1521</v>
      </c>
      <c r="I14" s="39">
        <v>1283</v>
      </c>
      <c r="J14" s="39">
        <v>1348</v>
      </c>
      <c r="K14" s="39">
        <v>1175</v>
      </c>
      <c r="L14" s="39">
        <v>1244</v>
      </c>
      <c r="M14" s="39">
        <v>1274</v>
      </c>
      <c r="N14" s="116">
        <v>1424</v>
      </c>
      <c r="O14" s="28">
        <v>1424</v>
      </c>
      <c r="P14" s="39">
        <v>1300</v>
      </c>
      <c r="Q14" s="22">
        <f t="shared" si="2"/>
        <v>124</v>
      </c>
      <c r="R14" s="39">
        <v>1400</v>
      </c>
      <c r="S14" s="39">
        <v>1400</v>
      </c>
      <c r="T14" s="108">
        <f t="shared" si="0"/>
        <v>0.07692307692307693</v>
      </c>
      <c r="U14" s="84">
        <f>(S14-P14)/P14</f>
        <v>0.07692307692307693</v>
      </c>
      <c r="V14" s="4"/>
    </row>
    <row r="15" spans="1:21" ht="14.25" customHeight="1">
      <c r="A15" s="37" t="s">
        <v>555</v>
      </c>
      <c r="B15" s="38">
        <v>31.1389</v>
      </c>
      <c r="C15" s="39"/>
      <c r="D15" s="39"/>
      <c r="E15" s="39"/>
      <c r="F15" s="39"/>
      <c r="G15" s="39"/>
      <c r="H15" s="39"/>
      <c r="I15" s="39">
        <f>237+773</f>
        <v>1010</v>
      </c>
      <c r="J15" s="39">
        <v>1779</v>
      </c>
      <c r="K15" s="39">
        <v>8006</v>
      </c>
      <c r="L15" s="39">
        <v>3828</v>
      </c>
      <c r="M15" s="39">
        <v>1999</v>
      </c>
      <c r="N15" s="28">
        <v>60</v>
      </c>
      <c r="O15" s="28">
        <f>(12/$N$2)*N15</f>
        <v>65.45454545454545</v>
      </c>
      <c r="P15" s="39">
        <v>2000</v>
      </c>
      <c r="Q15" s="22">
        <f t="shared" si="2"/>
        <v>-1934.5454545454545</v>
      </c>
      <c r="R15" s="39">
        <v>2000</v>
      </c>
      <c r="S15" s="39">
        <v>2000</v>
      </c>
      <c r="T15" s="108">
        <f t="shared" si="0"/>
        <v>0</v>
      </c>
      <c r="U15" s="84"/>
    </row>
    <row r="16" spans="1:21" ht="12.75">
      <c r="A16" s="41" t="s">
        <v>497</v>
      </c>
      <c r="B16" s="38">
        <v>31.139</v>
      </c>
      <c r="C16" s="39"/>
      <c r="E16" s="39">
        <v>2757</v>
      </c>
      <c r="F16" s="39"/>
      <c r="G16" s="39"/>
      <c r="H16" s="39"/>
      <c r="I16" s="39"/>
      <c r="J16" s="39">
        <v>9292.01</v>
      </c>
      <c r="K16" s="39">
        <v>6093</v>
      </c>
      <c r="L16" s="39">
        <v>889</v>
      </c>
      <c r="M16" s="39">
        <v>386</v>
      </c>
      <c r="N16" s="28">
        <v>186</v>
      </c>
      <c r="O16" s="28">
        <f>(12/$N$2)*N16</f>
        <v>202.9090909090909</v>
      </c>
      <c r="P16" s="39">
        <v>400</v>
      </c>
      <c r="Q16" s="22">
        <f t="shared" si="2"/>
        <v>-197.0909090909091</v>
      </c>
      <c r="R16" s="39">
        <v>200</v>
      </c>
      <c r="S16" s="39">
        <v>200</v>
      </c>
      <c r="T16" s="108">
        <f t="shared" si="0"/>
        <v>-0.5</v>
      </c>
      <c r="U16" s="84"/>
    </row>
    <row r="17" spans="1:21" ht="12.75">
      <c r="A17" s="41" t="s">
        <v>498</v>
      </c>
      <c r="B17" s="38">
        <v>31.1391</v>
      </c>
      <c r="C17" s="39"/>
      <c r="E17" s="39">
        <v>1371</v>
      </c>
      <c r="F17" s="39">
        <v>3480</v>
      </c>
      <c r="G17" s="39">
        <v>3405</v>
      </c>
      <c r="H17" s="39">
        <v>526</v>
      </c>
      <c r="I17" s="39">
        <f>2700+100</f>
        <v>2800</v>
      </c>
      <c r="J17" s="39">
        <v>3935</v>
      </c>
      <c r="K17" s="39">
        <v>4255</v>
      </c>
      <c r="L17" s="39">
        <v>3978</v>
      </c>
      <c r="M17" s="39">
        <v>4142</v>
      </c>
      <c r="N17" s="40">
        <v>3330</v>
      </c>
      <c r="O17" s="28">
        <f aca="true" t="shared" si="3" ref="O17:O23">(12/$N$2)*N17</f>
        <v>3632.7272727272725</v>
      </c>
      <c r="P17" s="39">
        <v>4000</v>
      </c>
      <c r="Q17" s="22">
        <f t="shared" si="2"/>
        <v>-367.2727272727275</v>
      </c>
      <c r="R17" s="39">
        <v>4000</v>
      </c>
      <c r="S17" s="39">
        <v>4000</v>
      </c>
      <c r="T17" s="108">
        <f t="shared" si="0"/>
        <v>0</v>
      </c>
      <c r="U17" s="84"/>
    </row>
    <row r="18" spans="1:21" ht="12.75">
      <c r="A18" s="41" t="s">
        <v>384</v>
      </c>
      <c r="B18" s="38">
        <v>31.1392</v>
      </c>
      <c r="C18" s="39"/>
      <c r="E18" s="39">
        <v>25</v>
      </c>
      <c r="F18" s="39">
        <v>76</v>
      </c>
      <c r="G18" s="39">
        <v>77</v>
      </c>
      <c r="H18" s="39">
        <v>55</v>
      </c>
      <c r="I18" s="39">
        <v>43</v>
      </c>
      <c r="J18" s="39">
        <v>59</v>
      </c>
      <c r="K18" s="39">
        <v>37</v>
      </c>
      <c r="L18" s="39">
        <v>295</v>
      </c>
      <c r="M18" s="39">
        <v>1</v>
      </c>
      <c r="N18" s="28">
        <v>1</v>
      </c>
      <c r="O18" s="28">
        <f t="shared" si="3"/>
        <v>1.0909090909090908</v>
      </c>
      <c r="P18" s="39"/>
      <c r="Q18" s="22">
        <f t="shared" si="2"/>
        <v>1.0909090909090908</v>
      </c>
      <c r="R18" s="39"/>
      <c r="S18" s="39"/>
      <c r="T18" s="108"/>
      <c r="U18" s="84"/>
    </row>
    <row r="19" spans="1:21" ht="12.75" hidden="1">
      <c r="A19" s="41" t="s">
        <v>546</v>
      </c>
      <c r="B19" s="38">
        <v>31.1394</v>
      </c>
      <c r="C19" s="39"/>
      <c r="D19" s="39">
        <v>5419</v>
      </c>
      <c r="E19" s="39">
        <v>1138</v>
      </c>
      <c r="F19" s="39">
        <v>2836</v>
      </c>
      <c r="G19" s="39"/>
      <c r="H19" s="39"/>
      <c r="I19" s="39"/>
      <c r="J19" s="39"/>
      <c r="K19" s="39"/>
      <c r="L19" s="39"/>
      <c r="M19" s="39"/>
      <c r="N19" s="40"/>
      <c r="O19" s="28">
        <f t="shared" si="3"/>
        <v>0</v>
      </c>
      <c r="P19" s="39"/>
      <c r="Q19" s="22">
        <f t="shared" si="2"/>
        <v>0</v>
      </c>
      <c r="R19" s="39"/>
      <c r="S19" s="39"/>
      <c r="T19" s="108" t="e">
        <f t="shared" si="0"/>
        <v>#DIV/0!</v>
      </c>
      <c r="U19" s="84"/>
    </row>
    <row r="20" spans="1:21" ht="12.75">
      <c r="A20" s="20" t="s">
        <v>499</v>
      </c>
      <c r="B20" s="38">
        <v>31.1395</v>
      </c>
      <c r="C20" s="39"/>
      <c r="D20" s="39"/>
      <c r="E20" s="39"/>
      <c r="F20" s="39">
        <v>500</v>
      </c>
      <c r="G20" s="39">
        <v>600</v>
      </c>
      <c r="H20" s="39">
        <v>800</v>
      </c>
      <c r="I20" s="39">
        <v>760</v>
      </c>
      <c r="J20" s="39">
        <v>680</v>
      </c>
      <c r="K20" s="39">
        <v>820</v>
      </c>
      <c r="L20" s="39">
        <v>735</v>
      </c>
      <c r="M20" s="39">
        <v>760</v>
      </c>
      <c r="N20" s="28">
        <v>740</v>
      </c>
      <c r="O20" s="28">
        <f t="shared" si="3"/>
        <v>807.2727272727273</v>
      </c>
      <c r="P20" s="39">
        <v>800</v>
      </c>
      <c r="Q20" s="22">
        <f t="shared" si="2"/>
        <v>7.272727272727252</v>
      </c>
      <c r="R20" s="39">
        <v>800</v>
      </c>
      <c r="S20" s="39">
        <v>800</v>
      </c>
      <c r="T20" s="108">
        <f t="shared" si="0"/>
        <v>0</v>
      </c>
      <c r="U20" s="84"/>
    </row>
    <row r="21" spans="1:21" ht="12.75">
      <c r="A21" s="37" t="s">
        <v>500</v>
      </c>
      <c r="B21" s="38">
        <v>31.1396</v>
      </c>
      <c r="C21" s="39">
        <v>14871</v>
      </c>
      <c r="D21" s="39">
        <v>25630</v>
      </c>
      <c r="E21" s="39">
        <v>34695</v>
      </c>
      <c r="F21" s="39">
        <v>9040</v>
      </c>
      <c r="G21" s="39">
        <v>3755</v>
      </c>
      <c r="H21" s="39">
        <v>3365</v>
      </c>
      <c r="I21" s="39">
        <v>7466</v>
      </c>
      <c r="J21" s="39">
        <v>18228</v>
      </c>
      <c r="K21" s="39">
        <v>19633</v>
      </c>
      <c r="L21" s="39">
        <v>15339</v>
      </c>
      <c r="M21" s="39">
        <v>4013</v>
      </c>
      <c r="N21" s="28">
        <v>2225</v>
      </c>
      <c r="O21" s="28">
        <f t="shared" si="3"/>
        <v>2427.272727272727</v>
      </c>
      <c r="P21" s="39">
        <v>4000</v>
      </c>
      <c r="Q21" s="22">
        <f t="shared" si="2"/>
        <v>-1572.727272727273</v>
      </c>
      <c r="R21" s="39">
        <v>4000</v>
      </c>
      <c r="S21" s="39">
        <v>4000</v>
      </c>
      <c r="T21" s="108">
        <f t="shared" si="0"/>
        <v>0</v>
      </c>
      <c r="U21" s="84">
        <f>(S21-P21)/P21</f>
        <v>0</v>
      </c>
    </row>
    <row r="22" spans="1:21" ht="12.75">
      <c r="A22" s="37" t="s">
        <v>501</v>
      </c>
      <c r="B22" s="38">
        <v>31.1397</v>
      </c>
      <c r="C22" s="39">
        <v>204126</v>
      </c>
      <c r="D22" s="39">
        <v>220751</v>
      </c>
      <c r="E22" s="39">
        <v>229760</v>
      </c>
      <c r="F22" s="39">
        <v>231861</v>
      </c>
      <c r="G22" s="39">
        <v>234423</v>
      </c>
      <c r="H22" s="39">
        <v>260059</v>
      </c>
      <c r="I22" s="39">
        <f>262340+2603</f>
        <v>264943</v>
      </c>
      <c r="J22" s="39">
        <v>291205</v>
      </c>
      <c r="K22" s="39">
        <v>301679</v>
      </c>
      <c r="L22" s="39">
        <v>324755</v>
      </c>
      <c r="M22" s="39">
        <v>332460</v>
      </c>
      <c r="N22" s="28">
        <v>330015</v>
      </c>
      <c r="O22" s="28">
        <v>335000</v>
      </c>
      <c r="P22" s="39">
        <v>350000</v>
      </c>
      <c r="Q22" s="22">
        <f t="shared" si="2"/>
        <v>-15000</v>
      </c>
      <c r="R22" s="39">
        <v>335000</v>
      </c>
      <c r="S22" s="39">
        <v>335000</v>
      </c>
      <c r="T22" s="108">
        <f t="shared" si="0"/>
        <v>-0.04285714285714286</v>
      </c>
      <c r="U22" s="84">
        <f>(S22-P22)/P22</f>
        <v>-0.04285714285714286</v>
      </c>
    </row>
    <row r="23" spans="1:21" ht="12.75">
      <c r="A23" s="37" t="s">
        <v>502</v>
      </c>
      <c r="B23" s="38">
        <v>31.1398</v>
      </c>
      <c r="C23" s="39">
        <v>26596</v>
      </c>
      <c r="D23" s="39">
        <v>33813</v>
      </c>
      <c r="E23" s="39">
        <v>31822</v>
      </c>
      <c r="F23" s="39">
        <v>31679</v>
      </c>
      <c r="G23" s="39">
        <v>33639</v>
      </c>
      <c r="H23" s="39">
        <v>37953</v>
      </c>
      <c r="I23" s="39">
        <f>50506+1751</f>
        <v>52257</v>
      </c>
      <c r="J23" s="39">
        <v>44872</v>
      </c>
      <c r="K23" s="39">
        <v>41455</v>
      </c>
      <c r="L23" s="39">
        <v>54664</v>
      </c>
      <c r="M23" s="39">
        <v>44971</v>
      </c>
      <c r="N23" s="28">
        <v>40470</v>
      </c>
      <c r="O23" s="28">
        <f t="shared" si="3"/>
        <v>44149.090909090904</v>
      </c>
      <c r="P23" s="39">
        <v>44000</v>
      </c>
      <c r="Q23" s="22">
        <f t="shared" si="2"/>
        <v>149.09090909090446</v>
      </c>
      <c r="R23" s="39">
        <v>44000</v>
      </c>
      <c r="S23" s="39">
        <v>44000</v>
      </c>
      <c r="T23" s="108">
        <f t="shared" si="0"/>
        <v>0</v>
      </c>
      <c r="U23" s="84">
        <f>(S23-P23)/P23</f>
        <v>0</v>
      </c>
    </row>
    <row r="24" spans="1:21" ht="12.75" hidden="1">
      <c r="A24" s="37" t="s">
        <v>517</v>
      </c>
      <c r="B24" s="38">
        <v>31.1399</v>
      </c>
      <c r="C24" s="39">
        <v>2700</v>
      </c>
      <c r="D24" s="39">
        <v>2500</v>
      </c>
      <c r="E24" s="39">
        <v>2600</v>
      </c>
      <c r="F24" s="39">
        <v>2428</v>
      </c>
      <c r="G24" s="39"/>
      <c r="H24" s="39">
        <v>18192</v>
      </c>
      <c r="I24" s="39"/>
      <c r="J24" s="39"/>
      <c r="K24" s="39"/>
      <c r="L24" s="39"/>
      <c r="M24" s="39"/>
      <c r="N24" s="40"/>
      <c r="O24" s="28"/>
      <c r="P24" s="39"/>
      <c r="Q24" s="22">
        <f t="shared" si="2"/>
        <v>0</v>
      </c>
      <c r="R24" s="39"/>
      <c r="S24" s="39"/>
      <c r="T24" s="108"/>
      <c r="U24" s="84"/>
    </row>
    <row r="25" spans="1:21" ht="0.75" customHeight="1" hidden="1">
      <c r="A25" s="37" t="s">
        <v>648</v>
      </c>
      <c r="B25" s="38">
        <v>31.1401</v>
      </c>
      <c r="C25" s="39"/>
      <c r="D25" s="39"/>
      <c r="E25" s="39"/>
      <c r="F25" s="39"/>
      <c r="G25" s="39"/>
      <c r="H25" s="39"/>
      <c r="I25" s="39"/>
      <c r="J25" s="39">
        <v>640</v>
      </c>
      <c r="K25" s="39"/>
      <c r="L25" s="39"/>
      <c r="M25" s="39"/>
      <c r="N25" s="28"/>
      <c r="O25" s="28"/>
      <c r="P25" s="39"/>
      <c r="Q25" s="22">
        <f t="shared" si="2"/>
        <v>0</v>
      </c>
      <c r="R25" s="39"/>
      <c r="S25" s="39"/>
      <c r="T25" s="108"/>
      <c r="U25" s="84"/>
    </row>
    <row r="26" spans="1:21" ht="12.75">
      <c r="A26" s="37" t="s">
        <v>518</v>
      </c>
      <c r="B26" s="38">
        <v>31.15</v>
      </c>
      <c r="C26" s="39">
        <v>19682</v>
      </c>
      <c r="D26" s="39">
        <v>5304</v>
      </c>
      <c r="E26" s="39">
        <v>12501</v>
      </c>
      <c r="F26" s="39">
        <v>49173</v>
      </c>
      <c r="G26" s="39">
        <v>7346</v>
      </c>
      <c r="H26" s="39">
        <v>19928</v>
      </c>
      <c r="I26" s="39">
        <v>30870</v>
      </c>
      <c r="J26" s="39">
        <v>4117.12</v>
      </c>
      <c r="K26" s="39">
        <v>55980.41</v>
      </c>
      <c r="L26" s="39">
        <v>11422</v>
      </c>
      <c r="M26" s="39">
        <v>4918</v>
      </c>
      <c r="N26" s="28">
        <v>2814</v>
      </c>
      <c r="O26" s="28">
        <v>2800</v>
      </c>
      <c r="P26" s="39">
        <v>4500</v>
      </c>
      <c r="Q26" s="22">
        <f t="shared" si="2"/>
        <v>-1700</v>
      </c>
      <c r="R26" s="39">
        <v>2800</v>
      </c>
      <c r="S26" s="39">
        <v>2800</v>
      </c>
      <c r="T26" s="108">
        <f aca="true" t="shared" si="4" ref="T26:T31">(R26-P26)/P26</f>
        <v>-0.37777777777777777</v>
      </c>
      <c r="U26" s="84">
        <f aca="true" t="shared" si="5" ref="U26:U31">(S26-P26)/P26</f>
        <v>-0.37777777777777777</v>
      </c>
    </row>
    <row r="27" spans="1:21" ht="12.75">
      <c r="A27" s="37" t="s">
        <v>762</v>
      </c>
      <c r="B27" s="38">
        <v>31.16</v>
      </c>
      <c r="C27" s="39">
        <v>21224</v>
      </c>
      <c r="D27" s="39">
        <v>27225</v>
      </c>
      <c r="E27" s="39">
        <v>29905</v>
      </c>
      <c r="F27" s="39">
        <v>22988</v>
      </c>
      <c r="G27" s="39">
        <v>29255</v>
      </c>
      <c r="H27" s="39">
        <v>53251</v>
      </c>
      <c r="I27" s="39">
        <v>49637</v>
      </c>
      <c r="J27" s="39">
        <v>71408.6</v>
      </c>
      <c r="K27" s="39">
        <v>63221</v>
      </c>
      <c r="L27" s="39">
        <f>28943+1649</f>
        <v>30592</v>
      </c>
      <c r="M27" s="39">
        <v>23349</v>
      </c>
      <c r="N27" s="28">
        <v>15108</v>
      </c>
      <c r="O27" s="28">
        <f>(12/$N$2)*N27</f>
        <v>16481.454545454544</v>
      </c>
      <c r="P27" s="39">
        <v>22000</v>
      </c>
      <c r="Q27" s="22">
        <f t="shared" si="2"/>
        <v>-5518.545454545456</v>
      </c>
      <c r="R27" s="39">
        <v>22000</v>
      </c>
      <c r="S27" s="39">
        <v>22000</v>
      </c>
      <c r="T27" s="108">
        <f t="shared" si="4"/>
        <v>0</v>
      </c>
      <c r="U27" s="84">
        <f t="shared" si="5"/>
        <v>0</v>
      </c>
    </row>
    <row r="28" spans="1:21" ht="12.75">
      <c r="A28" s="37" t="s">
        <v>763</v>
      </c>
      <c r="B28" s="38">
        <v>31.1751</v>
      </c>
      <c r="C28" s="39">
        <v>28437</v>
      </c>
      <c r="D28" s="39">
        <v>34312</v>
      </c>
      <c r="E28" s="39">
        <v>31394</v>
      </c>
      <c r="F28" s="39">
        <v>33261</v>
      </c>
      <c r="G28" s="39">
        <v>34448</v>
      </c>
      <c r="H28" s="39">
        <v>33206</v>
      </c>
      <c r="I28" s="39">
        <v>29744</v>
      </c>
      <c r="J28" s="39">
        <v>26457</v>
      </c>
      <c r="K28" s="39">
        <v>26634</v>
      </c>
      <c r="L28" s="39">
        <v>26832</v>
      </c>
      <c r="M28" s="39">
        <v>27427</v>
      </c>
      <c r="N28" s="28">
        <v>26218</v>
      </c>
      <c r="O28" s="28">
        <v>26800</v>
      </c>
      <c r="P28" s="39">
        <v>27500</v>
      </c>
      <c r="Q28" s="22">
        <f t="shared" si="2"/>
        <v>-700</v>
      </c>
      <c r="R28" s="39">
        <v>27000</v>
      </c>
      <c r="S28" s="39">
        <v>27000</v>
      </c>
      <c r="T28" s="108">
        <f t="shared" si="4"/>
        <v>-0.01818181818181818</v>
      </c>
      <c r="U28" s="84">
        <f t="shared" si="5"/>
        <v>-0.01818181818181818</v>
      </c>
    </row>
    <row r="29" spans="1:21" ht="12.75">
      <c r="A29" s="37" t="s">
        <v>764</v>
      </c>
      <c r="B29" s="38">
        <v>31.1752</v>
      </c>
      <c r="C29" s="39">
        <v>287</v>
      </c>
      <c r="D29" s="39">
        <v>294</v>
      </c>
      <c r="E29" s="39">
        <v>269</v>
      </c>
      <c r="F29" s="39">
        <v>269</v>
      </c>
      <c r="G29" s="39">
        <v>294</v>
      </c>
      <c r="H29" s="39">
        <v>481</v>
      </c>
      <c r="I29" s="39">
        <v>424</v>
      </c>
      <c r="J29" s="39">
        <v>449.32</v>
      </c>
      <c r="K29" s="39">
        <v>302</v>
      </c>
      <c r="L29" s="39">
        <f>353+82</f>
        <v>435</v>
      </c>
      <c r="M29" s="39">
        <v>281</v>
      </c>
      <c r="N29" s="28">
        <v>315</v>
      </c>
      <c r="O29" s="28">
        <v>315</v>
      </c>
      <c r="P29" s="39">
        <v>300</v>
      </c>
      <c r="Q29" s="22">
        <f t="shared" si="2"/>
        <v>15</v>
      </c>
      <c r="R29" s="39">
        <v>300</v>
      </c>
      <c r="S29" s="39">
        <v>300</v>
      </c>
      <c r="T29" s="108">
        <f t="shared" si="4"/>
        <v>0</v>
      </c>
      <c r="U29" s="84">
        <f t="shared" si="5"/>
        <v>0</v>
      </c>
    </row>
    <row r="30" spans="1:21" ht="12.75">
      <c r="A30" s="37" t="s">
        <v>765</v>
      </c>
      <c r="B30" s="38">
        <v>31.1753</v>
      </c>
      <c r="C30" s="39">
        <v>2515</v>
      </c>
      <c r="D30" s="39">
        <v>2781</v>
      </c>
      <c r="E30" s="39">
        <v>3065</v>
      </c>
      <c r="F30" s="39"/>
      <c r="G30" s="39">
        <v>3066</v>
      </c>
      <c r="H30" s="39"/>
      <c r="I30" s="39">
        <f>8047+715</f>
        <v>8762</v>
      </c>
      <c r="J30" s="39">
        <v>2607</v>
      </c>
      <c r="K30" s="39">
        <v>4345</v>
      </c>
      <c r="L30" s="39">
        <f>2607+869</f>
        <v>3476</v>
      </c>
      <c r="M30" s="39">
        <v>3476</v>
      </c>
      <c r="N30" s="28">
        <v>1738</v>
      </c>
      <c r="O30" s="28">
        <v>3400</v>
      </c>
      <c r="P30" s="39">
        <v>2600</v>
      </c>
      <c r="Q30" s="22">
        <f t="shared" si="2"/>
        <v>800</v>
      </c>
      <c r="R30" s="39">
        <v>3400</v>
      </c>
      <c r="S30" s="39">
        <v>3400</v>
      </c>
      <c r="T30" s="108">
        <f t="shared" si="4"/>
        <v>0.3076923076923077</v>
      </c>
      <c r="U30" s="84">
        <f t="shared" si="5"/>
        <v>0.3076923076923077</v>
      </c>
    </row>
    <row r="31" spans="1:21" ht="12.75">
      <c r="A31" s="37" t="s">
        <v>766</v>
      </c>
      <c r="B31" s="38">
        <v>31.1754</v>
      </c>
      <c r="C31" s="39">
        <v>4312</v>
      </c>
      <c r="D31" s="39">
        <v>2539</v>
      </c>
      <c r="E31" s="39">
        <v>7126</v>
      </c>
      <c r="F31" s="39">
        <v>2717</v>
      </c>
      <c r="G31" s="39">
        <v>8580</v>
      </c>
      <c r="H31" s="39">
        <v>6846</v>
      </c>
      <c r="I31" s="39">
        <v>11396</v>
      </c>
      <c r="J31" s="39">
        <v>29013</v>
      </c>
      <c r="K31" s="39">
        <v>35916</v>
      </c>
      <c r="L31" s="39">
        <v>38133</v>
      </c>
      <c r="M31" s="39">
        <v>38760</v>
      </c>
      <c r="N31" s="28">
        <v>41583</v>
      </c>
      <c r="O31" s="28">
        <v>41500</v>
      </c>
      <c r="P31" s="39">
        <v>39000</v>
      </c>
      <c r="Q31" s="22">
        <f t="shared" si="2"/>
        <v>2500</v>
      </c>
      <c r="R31" s="39">
        <v>41000</v>
      </c>
      <c r="S31" s="39">
        <v>41000</v>
      </c>
      <c r="T31" s="108">
        <f t="shared" si="4"/>
        <v>0.05128205128205128</v>
      </c>
      <c r="U31" s="84">
        <f t="shared" si="5"/>
        <v>0.05128205128205128</v>
      </c>
    </row>
    <row r="32" spans="1:21" ht="12.75" hidden="1">
      <c r="A32" s="37" t="s">
        <v>767</v>
      </c>
      <c r="B32" s="38">
        <v>31.1755</v>
      </c>
      <c r="C32" s="39"/>
      <c r="D32" s="39"/>
      <c r="E32" s="39"/>
      <c r="F32" s="39"/>
      <c r="G32" s="39"/>
      <c r="H32" s="39"/>
      <c r="I32" s="39">
        <v>869</v>
      </c>
      <c r="J32" s="39"/>
      <c r="K32" s="39"/>
      <c r="L32" s="39"/>
      <c r="M32" s="39"/>
      <c r="N32" s="40"/>
      <c r="O32" s="28"/>
      <c r="P32" s="39"/>
      <c r="Q32" s="22">
        <f t="shared" si="2"/>
        <v>0</v>
      </c>
      <c r="R32" s="39"/>
      <c r="S32" s="39"/>
      <c r="T32" s="108"/>
      <c r="U32" s="84"/>
    </row>
    <row r="33" spans="1:21" ht="12.75">
      <c r="A33" s="44" t="s">
        <v>697</v>
      </c>
      <c r="B33" s="38">
        <v>31.31</v>
      </c>
      <c r="C33" s="39">
        <v>1334882</v>
      </c>
      <c r="D33" s="39">
        <v>1418238</v>
      </c>
      <c r="E33" s="39">
        <v>1698901</v>
      </c>
      <c r="F33" s="39">
        <v>1675034</v>
      </c>
      <c r="G33" s="39">
        <v>1628707</v>
      </c>
      <c r="H33" s="39">
        <v>1893585</v>
      </c>
      <c r="I33" s="39">
        <v>1923176</v>
      </c>
      <c r="J33" s="39">
        <v>2425198</v>
      </c>
      <c r="K33" s="39">
        <v>2378112.72</v>
      </c>
      <c r="L33" s="39">
        <f>1903615+372630</f>
        <v>2276245</v>
      </c>
      <c r="M33" s="39">
        <v>1925437</v>
      </c>
      <c r="N33" s="40">
        <v>1822284</v>
      </c>
      <c r="O33" s="28">
        <v>2200000</v>
      </c>
      <c r="P33" s="39">
        <v>1900000</v>
      </c>
      <c r="Q33" s="22">
        <f t="shared" si="2"/>
        <v>300000</v>
      </c>
      <c r="R33" s="39">
        <v>2200000</v>
      </c>
      <c r="S33" s="39">
        <v>2200000</v>
      </c>
      <c r="T33" s="108">
        <f>(R33-P33)/P33</f>
        <v>0.15789473684210525</v>
      </c>
      <c r="U33" s="84">
        <f>(S33-P33)/P33</f>
        <v>0.15789473684210525</v>
      </c>
    </row>
    <row r="34" spans="1:21" ht="12.75">
      <c r="A34" s="37" t="s">
        <v>742</v>
      </c>
      <c r="B34" s="38">
        <v>31.41</v>
      </c>
      <c r="C34" s="39"/>
      <c r="D34" s="39"/>
      <c r="E34" s="39"/>
      <c r="F34" s="39"/>
      <c r="G34" s="39"/>
      <c r="H34" s="39"/>
      <c r="I34" s="39"/>
      <c r="J34" s="39"/>
      <c r="K34" s="39">
        <v>1010</v>
      </c>
      <c r="L34" s="39">
        <v>415</v>
      </c>
      <c r="M34" s="39">
        <v>94</v>
      </c>
      <c r="N34" s="40">
        <v>681</v>
      </c>
      <c r="O34" s="28">
        <v>800</v>
      </c>
      <c r="P34" s="39">
        <v>100</v>
      </c>
      <c r="Q34" s="22">
        <f t="shared" si="2"/>
        <v>700</v>
      </c>
      <c r="R34" s="39">
        <v>800</v>
      </c>
      <c r="S34" s="39">
        <v>800</v>
      </c>
      <c r="T34" s="108">
        <f>(R34-P34)/P34</f>
        <v>7</v>
      </c>
      <c r="U34" s="84"/>
    </row>
    <row r="35" spans="1:21" ht="12.75">
      <c r="A35" s="37" t="s">
        <v>756</v>
      </c>
      <c r="B35" s="38">
        <v>31.42</v>
      </c>
      <c r="C35" s="39">
        <v>63122</v>
      </c>
      <c r="D35" s="39">
        <v>67490</v>
      </c>
      <c r="E35" s="39">
        <v>71097</v>
      </c>
      <c r="F35" s="39">
        <v>70005</v>
      </c>
      <c r="G35" s="39">
        <v>57869</v>
      </c>
      <c r="H35" s="39">
        <v>62647</v>
      </c>
      <c r="I35" s="39">
        <f>50976+92+335+18+3813+500</f>
        <v>55734</v>
      </c>
      <c r="J35" s="39">
        <v>54847.3</v>
      </c>
      <c r="K35" s="39">
        <v>59732.45</v>
      </c>
      <c r="L35" s="39">
        <f>57935+6395</f>
        <v>64330</v>
      </c>
      <c r="M35" s="39">
        <v>61663</v>
      </c>
      <c r="N35" s="28">
        <v>40440</v>
      </c>
      <c r="O35" s="28">
        <v>47220</v>
      </c>
      <c r="P35" s="39">
        <v>57000</v>
      </c>
      <c r="Q35" s="22">
        <f t="shared" si="2"/>
        <v>-9780</v>
      </c>
      <c r="R35" s="39">
        <v>50000</v>
      </c>
      <c r="S35" s="39">
        <v>50000</v>
      </c>
      <c r="T35" s="108">
        <f>(R35-P35)/P35</f>
        <v>-0.12280701754385964</v>
      </c>
      <c r="U35" s="84">
        <f>(S35-P35)/P35</f>
        <v>-0.12280701754385964</v>
      </c>
    </row>
    <row r="36" spans="1:21" ht="12.75" hidden="1">
      <c r="A36" s="37" t="s">
        <v>94</v>
      </c>
      <c r="B36" s="38">
        <v>31.62</v>
      </c>
      <c r="C36" s="39">
        <v>98550</v>
      </c>
      <c r="D36" s="39">
        <v>134589</v>
      </c>
      <c r="E36" s="39">
        <v>22816</v>
      </c>
      <c r="F36" s="39">
        <v>51602</v>
      </c>
      <c r="G36" s="39"/>
      <c r="H36" s="39"/>
      <c r="I36" s="39"/>
      <c r="J36" s="39"/>
      <c r="K36" s="39"/>
      <c r="L36" s="39"/>
      <c r="M36" s="39"/>
      <c r="N36" s="40"/>
      <c r="O36" s="28">
        <f>(12/$N$2)*N36</f>
        <v>0</v>
      </c>
      <c r="P36" s="39"/>
      <c r="Q36" s="22">
        <f t="shared" si="2"/>
        <v>0</v>
      </c>
      <c r="R36" s="39"/>
      <c r="S36" s="39"/>
      <c r="T36" s="108" t="e">
        <f>(R36-P36)/P36</f>
        <v>#DIV/0!</v>
      </c>
      <c r="U36" s="84"/>
    </row>
    <row r="37" spans="1:22" ht="12.75">
      <c r="A37" s="37" t="s">
        <v>757</v>
      </c>
      <c r="B37" s="38">
        <v>31.63</v>
      </c>
      <c r="C37" s="39">
        <v>16969</v>
      </c>
      <c r="D37" s="39">
        <v>18364</v>
      </c>
      <c r="E37" s="39">
        <v>20492</v>
      </c>
      <c r="F37" s="39">
        <v>21542</v>
      </c>
      <c r="G37" s="39">
        <v>24893</v>
      </c>
      <c r="H37" s="39">
        <v>24306</v>
      </c>
      <c r="I37" s="39">
        <v>27755</v>
      </c>
      <c r="J37" s="39">
        <v>25231</v>
      </c>
      <c r="K37" s="39">
        <v>25891</v>
      </c>
      <c r="L37" s="39">
        <v>22605</v>
      </c>
      <c r="M37" s="39">
        <v>26550</v>
      </c>
      <c r="N37" s="40">
        <v>28273</v>
      </c>
      <c r="O37" s="28">
        <v>28300</v>
      </c>
      <c r="P37" s="39">
        <v>27000</v>
      </c>
      <c r="Q37" s="22">
        <f t="shared" si="2"/>
        <v>1300</v>
      </c>
      <c r="R37" s="39">
        <v>28000</v>
      </c>
      <c r="S37" s="39">
        <v>28000</v>
      </c>
      <c r="T37" s="108">
        <f>(R37-P37)/P37</f>
        <v>0.037037037037037035</v>
      </c>
      <c r="U37" s="84">
        <f>(S37-P37)/P37</f>
        <v>0.037037037037037035</v>
      </c>
      <c r="V37" s="4"/>
    </row>
    <row r="38" spans="1:22" ht="12.75" hidden="1">
      <c r="A38" s="37" t="s">
        <v>758</v>
      </c>
      <c r="B38" s="38">
        <v>31.91</v>
      </c>
      <c r="C38" s="39">
        <v>60589</v>
      </c>
      <c r="D38" s="39">
        <v>53428</v>
      </c>
      <c r="E38" s="39">
        <v>8737</v>
      </c>
      <c r="F38" s="39"/>
      <c r="G38" s="39"/>
      <c r="H38" s="39"/>
      <c r="I38" s="39">
        <v>4080</v>
      </c>
      <c r="J38" s="39"/>
      <c r="K38" s="39"/>
      <c r="L38" s="39"/>
      <c r="M38" s="39"/>
      <c r="O38" s="28"/>
      <c r="P38" s="39"/>
      <c r="Q38" s="22">
        <f t="shared" si="2"/>
        <v>0</v>
      </c>
      <c r="R38" s="39"/>
      <c r="S38" s="39"/>
      <c r="T38" s="108"/>
      <c r="U38" s="84"/>
      <c r="V38" s="4"/>
    </row>
    <row r="39" spans="1:21" ht="12.75">
      <c r="A39" s="37" t="s">
        <v>759</v>
      </c>
      <c r="B39" s="38">
        <v>31.911</v>
      </c>
      <c r="C39" s="39">
        <v>36564</v>
      </c>
      <c r="D39" s="39">
        <v>14046</v>
      </c>
      <c r="E39" s="39">
        <v>21744</v>
      </c>
      <c r="F39" s="39">
        <v>18800</v>
      </c>
      <c r="G39" s="39">
        <v>16472</v>
      </c>
      <c r="H39" s="39">
        <v>27434</v>
      </c>
      <c r="I39" s="39">
        <f>40617+4569</f>
        <v>45186</v>
      </c>
      <c r="J39" s="39">
        <v>36688.25</v>
      </c>
      <c r="K39" s="39">
        <v>28427.11</v>
      </c>
      <c r="L39" s="39">
        <v>26770</v>
      </c>
      <c r="M39" s="39">
        <v>26898</v>
      </c>
      <c r="N39" s="28">
        <v>22925</v>
      </c>
      <c r="O39" s="28">
        <v>25000</v>
      </c>
      <c r="P39" s="39">
        <v>25000</v>
      </c>
      <c r="Q39" s="22">
        <f t="shared" si="2"/>
        <v>0</v>
      </c>
      <c r="R39" s="39">
        <v>25000</v>
      </c>
      <c r="S39" s="39">
        <v>25000</v>
      </c>
      <c r="T39" s="108">
        <f aca="true" t="shared" si="6" ref="T39:T44">(R39-P39)/P39</f>
        <v>0</v>
      </c>
      <c r="U39" s="84">
        <f>(S39-P39)/P39</f>
        <v>0</v>
      </c>
    </row>
    <row r="40" spans="1:21" ht="12.75" hidden="1">
      <c r="A40" s="37" t="s">
        <v>95</v>
      </c>
      <c r="B40" s="38">
        <v>31.9111</v>
      </c>
      <c r="C40" s="39">
        <v>3777</v>
      </c>
      <c r="D40" s="39">
        <v>34497</v>
      </c>
      <c r="E40" s="39">
        <v>22934</v>
      </c>
      <c r="F40" s="39"/>
      <c r="G40" s="39"/>
      <c r="H40" s="39"/>
      <c r="I40" s="39"/>
      <c r="J40" s="39"/>
      <c r="K40" s="39"/>
      <c r="L40" s="39"/>
      <c r="M40" s="39"/>
      <c r="O40" s="28"/>
      <c r="P40" s="39"/>
      <c r="Q40" s="22">
        <f t="shared" si="2"/>
        <v>0</v>
      </c>
      <c r="R40" s="39"/>
      <c r="S40" s="39"/>
      <c r="T40" s="108" t="e">
        <f t="shared" si="6"/>
        <v>#DIV/0!</v>
      </c>
      <c r="U40" s="84"/>
    </row>
    <row r="41" spans="1:21" ht="12.75">
      <c r="A41" s="37" t="s">
        <v>760</v>
      </c>
      <c r="B41" s="38">
        <v>31.912</v>
      </c>
      <c r="C41" s="39"/>
      <c r="D41" s="39"/>
      <c r="E41" s="39">
        <v>24562</v>
      </c>
      <c r="F41" s="39">
        <v>8689</v>
      </c>
      <c r="G41" s="39">
        <v>1508</v>
      </c>
      <c r="H41" s="39">
        <v>5657</v>
      </c>
      <c r="I41" s="39">
        <f>2028+5530</f>
        <v>7558</v>
      </c>
      <c r="J41" s="39">
        <v>1213.75</v>
      </c>
      <c r="K41" s="39">
        <v>2663</v>
      </c>
      <c r="L41" s="39">
        <v>1121</v>
      </c>
      <c r="M41" s="39">
        <v>723</v>
      </c>
      <c r="N41" s="40">
        <v>263</v>
      </c>
      <c r="O41" s="28">
        <v>500</v>
      </c>
      <c r="P41" s="39">
        <v>750</v>
      </c>
      <c r="Q41" s="22">
        <f t="shared" si="2"/>
        <v>-250</v>
      </c>
      <c r="R41" s="39">
        <v>500</v>
      </c>
      <c r="S41" s="39">
        <v>500</v>
      </c>
      <c r="T41" s="108">
        <f t="shared" si="6"/>
        <v>-0.3333333333333333</v>
      </c>
      <c r="U41" s="84"/>
    </row>
    <row r="42" spans="1:21" ht="12.75">
      <c r="A42" s="37" t="s">
        <v>637</v>
      </c>
      <c r="B42" s="38">
        <v>31.9121</v>
      </c>
      <c r="C42" s="39"/>
      <c r="D42" s="39"/>
      <c r="E42" s="39">
        <v>18853</v>
      </c>
      <c r="F42" s="39">
        <v>34024</v>
      </c>
      <c r="G42" s="39">
        <v>31392</v>
      </c>
      <c r="H42" s="39">
        <v>56562</v>
      </c>
      <c r="I42" s="39">
        <v>74924</v>
      </c>
      <c r="J42" s="39">
        <v>60584.01</v>
      </c>
      <c r="K42" s="39">
        <v>51161</v>
      </c>
      <c r="L42" s="39">
        <v>59602</v>
      </c>
      <c r="M42" s="39">
        <v>71027</v>
      </c>
      <c r="N42" s="28">
        <v>25870</v>
      </c>
      <c r="O42" s="28">
        <v>28000</v>
      </c>
      <c r="P42" s="39">
        <v>65000</v>
      </c>
      <c r="Q42" s="22">
        <f t="shared" si="2"/>
        <v>-37000</v>
      </c>
      <c r="R42" s="39">
        <v>32000</v>
      </c>
      <c r="S42" s="39">
        <v>32000</v>
      </c>
      <c r="T42" s="108">
        <f t="shared" si="6"/>
        <v>-0.5076923076923077</v>
      </c>
      <c r="U42" s="84">
        <f>(S42-P42)/P42</f>
        <v>-0.5076923076923077</v>
      </c>
    </row>
    <row r="43" spans="1:21" ht="12.75">
      <c r="A43" s="37" t="s">
        <v>768</v>
      </c>
      <c r="B43" s="38">
        <v>31.95</v>
      </c>
      <c r="C43" s="39">
        <v>2989</v>
      </c>
      <c r="D43" s="39">
        <v>1177</v>
      </c>
      <c r="E43" s="39">
        <v>2570</v>
      </c>
      <c r="F43" s="39">
        <v>2485</v>
      </c>
      <c r="G43" s="39">
        <v>1814</v>
      </c>
      <c r="H43" s="39">
        <v>2401</v>
      </c>
      <c r="I43" s="39">
        <f>3239+149</f>
        <v>3388</v>
      </c>
      <c r="J43" s="39">
        <v>1870</v>
      </c>
      <c r="K43" s="39">
        <v>1521.5</v>
      </c>
      <c r="L43" s="39">
        <v>943</v>
      </c>
      <c r="M43" s="39">
        <v>1712</v>
      </c>
      <c r="N43" s="28">
        <v>786</v>
      </c>
      <c r="O43" s="28">
        <v>1100</v>
      </c>
      <c r="P43" s="39">
        <v>1600</v>
      </c>
      <c r="Q43" s="22">
        <f t="shared" si="2"/>
        <v>-500</v>
      </c>
      <c r="R43" s="39">
        <v>1100</v>
      </c>
      <c r="S43" s="39">
        <v>1100</v>
      </c>
      <c r="T43" s="108">
        <f t="shared" si="6"/>
        <v>-0.3125</v>
      </c>
      <c r="U43" s="84">
        <f>(S43-P43)/P43</f>
        <v>-0.3125</v>
      </c>
    </row>
    <row r="44" spans="1:21" ht="12.75">
      <c r="A44" s="37" t="s">
        <v>769</v>
      </c>
      <c r="B44" s="38">
        <v>32.11</v>
      </c>
      <c r="C44" s="39">
        <v>11825</v>
      </c>
      <c r="D44" s="39">
        <v>12900</v>
      </c>
      <c r="E44" s="39">
        <v>11600</v>
      </c>
      <c r="F44" s="39">
        <v>11750</v>
      </c>
      <c r="G44" s="39">
        <v>12700</v>
      </c>
      <c r="H44" s="39">
        <v>11700</v>
      </c>
      <c r="I44" s="39">
        <v>8400</v>
      </c>
      <c r="J44" s="39">
        <v>10400</v>
      </c>
      <c r="K44" s="39">
        <v>11900</v>
      </c>
      <c r="L44" s="39">
        <v>10750</v>
      </c>
      <c r="M44" s="39">
        <v>12550</v>
      </c>
      <c r="N44" s="28">
        <v>8800</v>
      </c>
      <c r="O44" s="28">
        <v>10000</v>
      </c>
      <c r="P44" s="39">
        <v>12500</v>
      </c>
      <c r="Q44" s="22">
        <f t="shared" si="2"/>
        <v>-2500</v>
      </c>
      <c r="R44" s="39">
        <v>10000</v>
      </c>
      <c r="S44" s="39">
        <v>10000</v>
      </c>
      <c r="T44" s="108">
        <f t="shared" si="6"/>
        <v>-0.2</v>
      </c>
      <c r="U44" s="84">
        <f>(S44-P44)/P44</f>
        <v>-0.2</v>
      </c>
    </row>
    <row r="45" spans="1:21" ht="12.75" hidden="1">
      <c r="A45" s="37" t="s">
        <v>96</v>
      </c>
      <c r="B45" s="38">
        <v>32.2205</v>
      </c>
      <c r="C45" s="39">
        <v>175</v>
      </c>
      <c r="D45" s="39">
        <v>25</v>
      </c>
      <c r="E45" s="39"/>
      <c r="F45" s="39"/>
      <c r="G45" s="39">
        <v>75</v>
      </c>
      <c r="H45" s="39"/>
      <c r="I45" s="39">
        <v>5</v>
      </c>
      <c r="J45" s="39"/>
      <c r="K45" s="39"/>
      <c r="L45" s="39"/>
      <c r="M45" s="39"/>
      <c r="O45" s="28"/>
      <c r="P45" s="39"/>
      <c r="Q45" s="22">
        <f t="shared" si="2"/>
        <v>0</v>
      </c>
      <c r="R45" s="39"/>
      <c r="S45" s="39"/>
      <c r="T45" s="108"/>
      <c r="U45" s="84"/>
    </row>
    <row r="46" spans="1:21" ht="12.75">
      <c r="A46" s="41" t="s">
        <v>475</v>
      </c>
      <c r="B46" s="38">
        <v>32.31</v>
      </c>
      <c r="C46" s="39"/>
      <c r="D46" s="39"/>
      <c r="E46" s="39"/>
      <c r="F46" s="39"/>
      <c r="G46" s="39">
        <v>5190</v>
      </c>
      <c r="H46" s="39">
        <v>5210</v>
      </c>
      <c r="I46" s="39">
        <v>6165</v>
      </c>
      <c r="J46" s="39">
        <v>6030</v>
      </c>
      <c r="K46" s="39">
        <v>6095</v>
      </c>
      <c r="L46" s="39">
        <v>4260</v>
      </c>
      <c r="M46" s="39">
        <v>4900</v>
      </c>
      <c r="N46" s="28">
        <v>4200</v>
      </c>
      <c r="O46" s="28">
        <f>(12/$N$2)*N46</f>
        <v>4581.818181818181</v>
      </c>
      <c r="P46" s="39">
        <v>4900</v>
      </c>
      <c r="Q46" s="22">
        <f>O46-P46</f>
        <v>-318.1818181818189</v>
      </c>
      <c r="R46" s="39">
        <v>4800</v>
      </c>
      <c r="S46" s="39">
        <v>4800</v>
      </c>
      <c r="T46" s="108">
        <f>(R46-P46)/P46</f>
        <v>-0.02040816326530612</v>
      </c>
      <c r="U46" s="84"/>
    </row>
    <row r="47" spans="1:21" ht="12.75">
      <c r="A47" s="41" t="s">
        <v>990</v>
      </c>
      <c r="B47" s="38">
        <v>32.2201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28">
        <v>90</v>
      </c>
      <c r="O47" s="28">
        <v>100</v>
      </c>
      <c r="P47" s="39"/>
      <c r="Q47" s="22"/>
      <c r="R47" s="39">
        <v>150</v>
      </c>
      <c r="S47" s="39">
        <v>150</v>
      </c>
      <c r="T47" s="108"/>
      <c r="U47" s="84"/>
    </row>
    <row r="48" spans="1:21" ht="12.75">
      <c r="A48" s="37" t="s">
        <v>36</v>
      </c>
      <c r="B48" s="38">
        <v>33.2202</v>
      </c>
      <c r="C48" s="39"/>
      <c r="D48" s="39"/>
      <c r="E48" s="39"/>
      <c r="F48" s="39"/>
      <c r="G48" s="39"/>
      <c r="H48" s="39"/>
      <c r="I48" s="39"/>
      <c r="J48" s="39"/>
      <c r="K48" s="39"/>
      <c r="L48" s="39">
        <v>900</v>
      </c>
      <c r="M48" s="39">
        <v>2050</v>
      </c>
      <c r="N48" s="20">
        <v>1650</v>
      </c>
      <c r="O48" s="28">
        <f aca="true" t="shared" si="7" ref="O48:O53">(12/$N$2)*N48</f>
        <v>1799.9999999999998</v>
      </c>
      <c r="P48" s="39">
        <v>2000</v>
      </c>
      <c r="Q48" s="22">
        <f t="shared" si="2"/>
        <v>-200.00000000000023</v>
      </c>
      <c r="R48" s="39">
        <v>1800</v>
      </c>
      <c r="S48" s="39">
        <v>1800</v>
      </c>
      <c r="T48" s="108">
        <f>(R48-P48)/P48</f>
        <v>-0.1</v>
      </c>
      <c r="U48" s="84"/>
    </row>
    <row r="49" spans="1:21" ht="12.75">
      <c r="A49" s="37" t="s">
        <v>824</v>
      </c>
      <c r="B49" s="38">
        <v>32.291</v>
      </c>
      <c r="C49" s="39"/>
      <c r="D49" s="39"/>
      <c r="E49" s="39"/>
      <c r="F49" s="39"/>
      <c r="G49" s="39"/>
      <c r="H49" s="39"/>
      <c r="I49" s="39"/>
      <c r="J49" s="39"/>
      <c r="K49" s="39"/>
      <c r="L49" s="39">
        <v>1242</v>
      </c>
      <c r="M49" s="39">
        <v>2000</v>
      </c>
      <c r="N49" s="20">
        <v>0</v>
      </c>
      <c r="O49" s="28">
        <f t="shared" si="7"/>
        <v>0</v>
      </c>
      <c r="P49" s="39">
        <v>2000</v>
      </c>
      <c r="Q49" s="22">
        <f t="shared" si="2"/>
        <v>-2000</v>
      </c>
      <c r="R49" s="39"/>
      <c r="S49" s="39"/>
      <c r="T49" s="108">
        <f aca="true" t="shared" si="8" ref="T49:T76">(R49-P49)/P49</f>
        <v>-1</v>
      </c>
      <c r="U49" s="84"/>
    </row>
    <row r="50" spans="1:21" ht="12.75">
      <c r="A50" s="37" t="s">
        <v>770</v>
      </c>
      <c r="B50" s="38">
        <v>32.294</v>
      </c>
      <c r="C50" s="39">
        <v>1380</v>
      </c>
      <c r="D50" s="39">
        <v>1261</v>
      </c>
      <c r="E50" s="39">
        <v>1030</v>
      </c>
      <c r="F50" s="39">
        <v>905</v>
      </c>
      <c r="G50" s="39">
        <v>3995</v>
      </c>
      <c r="H50" s="39">
        <v>3325</v>
      </c>
      <c r="I50" s="39">
        <v>3475</v>
      </c>
      <c r="J50" s="39">
        <v>3500</v>
      </c>
      <c r="K50" s="39">
        <v>2894</v>
      </c>
      <c r="L50" s="39">
        <v>1900</v>
      </c>
      <c r="M50" s="39">
        <v>6200</v>
      </c>
      <c r="N50" s="28">
        <v>5100</v>
      </c>
      <c r="O50" s="28">
        <f t="shared" si="7"/>
        <v>5563.636363636363</v>
      </c>
      <c r="P50" s="39">
        <v>6000</v>
      </c>
      <c r="Q50" s="22">
        <f t="shared" si="2"/>
        <v>-436.36363636363694</v>
      </c>
      <c r="R50" s="39">
        <v>5500</v>
      </c>
      <c r="S50" s="39">
        <v>5500</v>
      </c>
      <c r="T50" s="108">
        <f t="shared" si="8"/>
        <v>-0.08333333333333333</v>
      </c>
      <c r="U50" s="84">
        <f>(S50-P50)/P50</f>
        <v>-0.08333333333333333</v>
      </c>
    </row>
    <row r="51" spans="1:22" ht="12.75" hidden="1">
      <c r="A51" s="41" t="s">
        <v>373</v>
      </c>
      <c r="B51" s="38">
        <v>32.299</v>
      </c>
      <c r="C51" s="39"/>
      <c r="D51" s="39"/>
      <c r="E51" s="39"/>
      <c r="F51" s="39">
        <v>5</v>
      </c>
      <c r="G51" s="39"/>
      <c r="H51" s="39"/>
      <c r="I51" s="39"/>
      <c r="J51" s="39"/>
      <c r="K51" s="39"/>
      <c r="L51" s="39"/>
      <c r="M51" s="39"/>
      <c r="N51" s="40"/>
      <c r="O51" s="28">
        <f t="shared" si="7"/>
        <v>0</v>
      </c>
      <c r="P51" s="39"/>
      <c r="Q51" s="22">
        <f t="shared" si="2"/>
        <v>0</v>
      </c>
      <c r="R51" s="39"/>
      <c r="S51" s="39"/>
      <c r="T51" s="108" t="e">
        <f t="shared" si="8"/>
        <v>#DIV/0!</v>
      </c>
      <c r="U51" s="84"/>
      <c r="V51">
        <v>38.9093</v>
      </c>
    </row>
    <row r="52" spans="1:21" ht="12.75">
      <c r="A52" s="37" t="s">
        <v>761</v>
      </c>
      <c r="B52" s="38">
        <v>32.43</v>
      </c>
      <c r="C52" s="39"/>
      <c r="D52" s="39"/>
      <c r="E52" s="39">
        <v>12217</v>
      </c>
      <c r="F52" s="39">
        <v>36584</v>
      </c>
      <c r="G52" s="39">
        <v>36851</v>
      </c>
      <c r="H52" s="39">
        <v>63268</v>
      </c>
      <c r="I52" s="39">
        <f>55164+1339</f>
        <v>56503</v>
      </c>
      <c r="J52" s="39">
        <v>40334</v>
      </c>
      <c r="K52" s="39">
        <v>38890.25</v>
      </c>
      <c r="L52" s="39">
        <v>43177</v>
      </c>
      <c r="M52" s="39">
        <v>40601</v>
      </c>
      <c r="N52" s="40">
        <v>37180</v>
      </c>
      <c r="O52" s="28">
        <f t="shared" si="7"/>
        <v>40560</v>
      </c>
      <c r="P52" s="39">
        <v>40000</v>
      </c>
      <c r="Q52" s="22">
        <f t="shared" si="2"/>
        <v>560</v>
      </c>
      <c r="R52" s="39">
        <v>41000</v>
      </c>
      <c r="S52" s="39">
        <v>41000</v>
      </c>
      <c r="T52" s="108">
        <f t="shared" si="8"/>
        <v>0.025</v>
      </c>
      <c r="U52" s="84">
        <f>(S52-P52)/P52</f>
        <v>0.025</v>
      </c>
    </row>
    <row r="53" spans="1:21" ht="12.75" hidden="1">
      <c r="A53" s="41" t="s">
        <v>374</v>
      </c>
      <c r="B53" s="38">
        <v>33.1111</v>
      </c>
      <c r="C53" s="39"/>
      <c r="D53" s="39"/>
      <c r="E53" s="39">
        <v>3806</v>
      </c>
      <c r="F53" s="39"/>
      <c r="G53" s="39"/>
      <c r="H53" s="39"/>
      <c r="I53" s="39"/>
      <c r="J53" s="39"/>
      <c r="K53" s="39"/>
      <c r="L53" s="39"/>
      <c r="M53" s="39"/>
      <c r="N53" s="40"/>
      <c r="O53" s="28">
        <f t="shared" si="7"/>
        <v>0</v>
      </c>
      <c r="P53" s="39"/>
      <c r="Q53" s="22">
        <f t="shared" si="2"/>
        <v>0</v>
      </c>
      <c r="R53" s="39"/>
      <c r="S53" s="39"/>
      <c r="T53" s="108" t="e">
        <f t="shared" si="8"/>
        <v>#DIV/0!</v>
      </c>
      <c r="U53" s="84"/>
    </row>
    <row r="54" spans="1:21" ht="12.75" hidden="1">
      <c r="A54" s="41" t="s">
        <v>467</v>
      </c>
      <c r="B54" s="38">
        <v>33.1151</v>
      </c>
      <c r="C54" s="39"/>
      <c r="D54" s="39"/>
      <c r="E54" s="39"/>
      <c r="F54" s="39"/>
      <c r="G54" s="39">
        <v>4990</v>
      </c>
      <c r="H54" s="39"/>
      <c r="I54" s="39"/>
      <c r="J54" s="39"/>
      <c r="K54" s="39"/>
      <c r="L54" s="39"/>
      <c r="M54" s="39"/>
      <c r="N54" s="40"/>
      <c r="O54" s="28"/>
      <c r="P54" s="39"/>
      <c r="Q54" s="22">
        <f t="shared" si="2"/>
        <v>0</v>
      </c>
      <c r="R54" s="39"/>
      <c r="S54" s="39"/>
      <c r="T54" s="108" t="e">
        <f t="shared" si="8"/>
        <v>#DIV/0!</v>
      </c>
      <c r="U54" s="84"/>
    </row>
    <row r="55" spans="1:21" ht="12.75" hidden="1">
      <c r="A55" s="37" t="s">
        <v>97</v>
      </c>
      <c r="B55" s="38">
        <v>33.112</v>
      </c>
      <c r="C55" s="39">
        <v>19390</v>
      </c>
      <c r="D55" s="39">
        <v>10668</v>
      </c>
      <c r="E55" s="39">
        <v>17693</v>
      </c>
      <c r="F55" s="39">
        <v>10631</v>
      </c>
      <c r="G55" s="39"/>
      <c r="H55" s="39"/>
      <c r="I55" s="39"/>
      <c r="J55" s="39"/>
      <c r="K55" s="39"/>
      <c r="L55" s="39"/>
      <c r="M55" s="39"/>
      <c r="O55" s="28">
        <f>(12/$N$2)*N55</f>
        <v>0</v>
      </c>
      <c r="P55" s="39"/>
      <c r="Q55" s="22">
        <f t="shared" si="2"/>
        <v>0</v>
      </c>
      <c r="R55" s="39"/>
      <c r="S55" s="39"/>
      <c r="T55" s="108" t="e">
        <f t="shared" si="8"/>
        <v>#DIV/0!</v>
      </c>
      <c r="U55" s="84"/>
    </row>
    <row r="56" spans="1:21" ht="12.75" hidden="1">
      <c r="A56" s="37" t="s">
        <v>556</v>
      </c>
      <c r="B56" s="38">
        <v>33.113</v>
      </c>
      <c r="C56" s="39"/>
      <c r="D56" s="39"/>
      <c r="E56" s="39"/>
      <c r="F56" s="39"/>
      <c r="G56" s="39"/>
      <c r="H56" s="39"/>
      <c r="I56" s="39">
        <v>82216</v>
      </c>
      <c r="J56" s="39"/>
      <c r="K56" s="39"/>
      <c r="L56" s="39"/>
      <c r="M56" s="39"/>
      <c r="O56" s="28"/>
      <c r="P56" s="39"/>
      <c r="Q56" s="22">
        <f t="shared" si="2"/>
        <v>0</v>
      </c>
      <c r="R56" s="39"/>
      <c r="S56" s="39"/>
      <c r="T56" s="108" t="e">
        <f t="shared" si="8"/>
        <v>#DIV/0!</v>
      </c>
      <c r="U56" s="84"/>
    </row>
    <row r="57" spans="1:21" ht="12.75" hidden="1">
      <c r="A57" s="37" t="s">
        <v>299</v>
      </c>
      <c r="B57" s="38">
        <v>33.1152</v>
      </c>
      <c r="C57" s="39"/>
      <c r="D57" s="39"/>
      <c r="E57" s="39">
        <v>6920</v>
      </c>
      <c r="F57" s="39"/>
      <c r="G57" s="39"/>
      <c r="H57" s="39"/>
      <c r="I57" s="39"/>
      <c r="J57" s="39"/>
      <c r="K57" s="39"/>
      <c r="L57" s="39"/>
      <c r="M57" s="39"/>
      <c r="O57" s="28"/>
      <c r="P57" s="39"/>
      <c r="Q57" s="22">
        <f t="shared" si="2"/>
        <v>0</v>
      </c>
      <c r="R57" s="39"/>
      <c r="S57" s="39"/>
      <c r="T57" s="108" t="e">
        <f t="shared" si="8"/>
        <v>#DIV/0!</v>
      </c>
      <c r="U57" s="84"/>
    </row>
    <row r="58" spans="1:21" ht="12.75" hidden="1">
      <c r="A58" s="37" t="s">
        <v>639</v>
      </c>
      <c r="B58" s="38">
        <v>33.1154</v>
      </c>
      <c r="C58" s="39"/>
      <c r="D58" s="39"/>
      <c r="E58" s="39"/>
      <c r="F58" s="39"/>
      <c r="G58" s="39"/>
      <c r="H58" s="39"/>
      <c r="I58" s="39">
        <v>3862</v>
      </c>
      <c r="J58" s="39">
        <v>11044</v>
      </c>
      <c r="K58" s="39"/>
      <c r="L58" s="39"/>
      <c r="M58" s="39"/>
      <c r="N58" s="28"/>
      <c r="O58" s="28"/>
      <c r="P58" s="39"/>
      <c r="Q58" s="22">
        <f t="shared" si="2"/>
        <v>0</v>
      </c>
      <c r="R58" s="39"/>
      <c r="S58" s="39"/>
      <c r="T58" s="108" t="e">
        <f t="shared" si="8"/>
        <v>#DIV/0!</v>
      </c>
      <c r="U58" s="84"/>
    </row>
    <row r="59" spans="1:21" ht="12.75">
      <c r="A59" s="37" t="s">
        <v>43</v>
      </c>
      <c r="B59" s="38">
        <v>33.1155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>
        <v>10980.8</v>
      </c>
      <c r="N59" s="28">
        <v>0</v>
      </c>
      <c r="O59" s="28"/>
      <c r="P59" s="39"/>
      <c r="Q59" s="22">
        <f t="shared" si="2"/>
        <v>0</v>
      </c>
      <c r="R59" s="39"/>
      <c r="S59" s="39"/>
      <c r="T59" s="108"/>
      <c r="U59" s="84"/>
    </row>
    <row r="60" spans="1:21" ht="12.75">
      <c r="A60" s="37" t="s">
        <v>872</v>
      </c>
      <c r="B60" s="38">
        <v>33.126</v>
      </c>
      <c r="C60" s="39">
        <v>11861</v>
      </c>
      <c r="D60" s="39">
        <v>13945</v>
      </c>
      <c r="E60" s="39">
        <v>21822</v>
      </c>
      <c r="F60" s="39">
        <v>22239</v>
      </c>
      <c r="G60" s="39">
        <v>19224</v>
      </c>
      <c r="H60" s="39">
        <f>18331+6214</f>
        <v>24545</v>
      </c>
      <c r="I60" s="39">
        <v>18631</v>
      </c>
      <c r="J60" s="39">
        <v>29422</v>
      </c>
      <c r="K60" s="39">
        <v>30850</v>
      </c>
      <c r="L60" s="39">
        <v>30591</v>
      </c>
      <c r="M60" s="39">
        <v>33329</v>
      </c>
      <c r="N60" s="22">
        <v>18242</v>
      </c>
      <c r="O60" s="28">
        <v>20000</v>
      </c>
      <c r="P60" s="39">
        <v>30000</v>
      </c>
      <c r="Q60" s="22">
        <f t="shared" si="2"/>
        <v>-10000</v>
      </c>
      <c r="R60" s="39">
        <v>38018</v>
      </c>
      <c r="S60" s="39">
        <v>38018</v>
      </c>
      <c r="T60" s="108">
        <f t="shared" si="8"/>
        <v>0.26726666666666665</v>
      </c>
      <c r="U60" s="84">
        <f>(S60-P60)/P60</f>
        <v>0.26726666666666665</v>
      </c>
    </row>
    <row r="61" spans="1:21" ht="12.75">
      <c r="A61" s="37" t="s">
        <v>978</v>
      </c>
      <c r="B61" s="38">
        <v>33.301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>
        <v>2313</v>
      </c>
      <c r="N61" s="22">
        <v>70877</v>
      </c>
      <c r="O61" s="28">
        <v>80000</v>
      </c>
      <c r="P61" s="39">
        <v>110190</v>
      </c>
      <c r="Q61" s="22">
        <f>O61-P61</f>
        <v>-30190</v>
      </c>
      <c r="R61" s="39">
        <v>49374</v>
      </c>
      <c r="S61" s="39">
        <v>49374</v>
      </c>
      <c r="T61" s="108">
        <f t="shared" si="8"/>
        <v>-0.551919411924857</v>
      </c>
      <c r="U61" s="84"/>
    </row>
    <row r="62" spans="1:21" ht="12.75">
      <c r="A62" s="37" t="s">
        <v>771</v>
      </c>
      <c r="B62" s="38">
        <v>33.331</v>
      </c>
      <c r="C62" s="39">
        <v>11435</v>
      </c>
      <c r="D62" s="39">
        <v>10544</v>
      </c>
      <c r="E62" s="39">
        <v>13089</v>
      </c>
      <c r="F62" s="39">
        <v>14649</v>
      </c>
      <c r="G62" s="39">
        <v>14651</v>
      </c>
      <c r="H62" s="39">
        <v>15576</v>
      </c>
      <c r="I62" s="39">
        <v>18704</v>
      </c>
      <c r="J62" s="39">
        <v>19685</v>
      </c>
      <c r="K62" s="39">
        <v>25434</v>
      </c>
      <c r="L62" s="39">
        <v>25950</v>
      </c>
      <c r="M62" s="39">
        <v>28429.75</v>
      </c>
      <c r="N62" s="28">
        <v>22455</v>
      </c>
      <c r="O62" s="28">
        <v>22500</v>
      </c>
      <c r="P62" s="39">
        <v>26000</v>
      </c>
      <c r="Q62" s="22">
        <f t="shared" si="2"/>
        <v>-3500</v>
      </c>
      <c r="R62" s="39">
        <v>22500</v>
      </c>
      <c r="S62" s="39">
        <v>22500</v>
      </c>
      <c r="T62" s="108">
        <f t="shared" si="8"/>
        <v>-0.1346153846153846</v>
      </c>
      <c r="U62" s="84">
        <f>(S62-P62)/P62</f>
        <v>-0.1346153846153846</v>
      </c>
    </row>
    <row r="63" spans="1:21" ht="12.75">
      <c r="A63" s="37" t="s">
        <v>772</v>
      </c>
      <c r="B63" s="38">
        <v>33.3</v>
      </c>
      <c r="C63" s="39"/>
      <c r="D63" s="39">
        <v>15820</v>
      </c>
      <c r="E63" s="39">
        <v>22648</v>
      </c>
      <c r="F63" s="39">
        <v>23824</v>
      </c>
      <c r="G63" s="39">
        <v>27280</v>
      </c>
      <c r="H63" s="39">
        <v>27980</v>
      </c>
      <c r="I63" s="39">
        <v>28597</v>
      </c>
      <c r="J63" s="39">
        <v>29078</v>
      </c>
      <c r="K63" s="39">
        <v>28929</v>
      </c>
      <c r="L63" s="39">
        <v>28577</v>
      </c>
      <c r="M63" s="39">
        <v>64344</v>
      </c>
      <c r="N63" s="154">
        <v>48075</v>
      </c>
      <c r="O63" s="28">
        <v>48075</v>
      </c>
      <c r="P63" s="39"/>
      <c r="Q63" s="22">
        <f t="shared" si="2"/>
        <v>48075</v>
      </c>
      <c r="R63" s="39">
        <v>29000</v>
      </c>
      <c r="S63" s="39">
        <v>29000</v>
      </c>
      <c r="T63" s="108"/>
      <c r="U63" s="84" t="e">
        <f>(S63-P63)/P63</f>
        <v>#DIV/0!</v>
      </c>
    </row>
    <row r="64" spans="1:21" ht="12.75" hidden="1">
      <c r="A64" s="37" t="s">
        <v>773</v>
      </c>
      <c r="B64" s="38">
        <v>33.4111</v>
      </c>
      <c r="C64" s="39"/>
      <c r="D64" s="39"/>
      <c r="E64" s="39"/>
      <c r="F64" s="39">
        <v>1830</v>
      </c>
      <c r="G64" s="39">
        <v>4271</v>
      </c>
      <c r="H64" s="39">
        <v>2250</v>
      </c>
      <c r="I64" s="39">
        <f>910+50</f>
        <v>960</v>
      </c>
      <c r="J64" s="39">
        <v>5019</v>
      </c>
      <c r="K64" s="39"/>
      <c r="L64" s="39"/>
      <c r="M64" s="39"/>
      <c r="N64" s="28"/>
      <c r="O64" s="28"/>
      <c r="P64" s="39"/>
      <c r="Q64" s="22">
        <f t="shared" si="2"/>
        <v>0</v>
      </c>
      <c r="R64" s="39"/>
      <c r="S64" s="39"/>
      <c r="T64" s="108" t="e">
        <f t="shared" si="8"/>
        <v>#DIV/0!</v>
      </c>
      <c r="U64" s="84" t="s">
        <v>820</v>
      </c>
    </row>
    <row r="65" spans="1:21" ht="12.75" hidden="1">
      <c r="A65" s="37" t="s">
        <v>542</v>
      </c>
      <c r="B65" s="38">
        <v>33.4113</v>
      </c>
      <c r="C65" s="39"/>
      <c r="D65" s="39"/>
      <c r="E65" s="39"/>
      <c r="F65" s="39"/>
      <c r="G65" s="39"/>
      <c r="H65" s="39">
        <v>1600</v>
      </c>
      <c r="I65" s="39"/>
      <c r="J65" s="39"/>
      <c r="K65" s="39"/>
      <c r="L65" s="39"/>
      <c r="M65" s="39"/>
      <c r="O65" s="28"/>
      <c r="P65" s="39"/>
      <c r="Q65" s="22">
        <f t="shared" si="2"/>
        <v>0</v>
      </c>
      <c r="R65" s="39"/>
      <c r="S65" s="39"/>
      <c r="T65" s="108" t="e">
        <f t="shared" si="8"/>
        <v>#DIV/0!</v>
      </c>
      <c r="U65" s="84"/>
    </row>
    <row r="66" spans="1:21" ht="12.75" hidden="1">
      <c r="A66" s="37" t="s">
        <v>469</v>
      </c>
      <c r="B66" s="38">
        <v>33.4116</v>
      </c>
      <c r="C66" s="39"/>
      <c r="D66" s="39"/>
      <c r="E66" s="39"/>
      <c r="F66" s="39">
        <v>10000</v>
      </c>
      <c r="G66" s="39"/>
      <c r="H66" s="39"/>
      <c r="I66" s="39"/>
      <c r="J66" s="39"/>
      <c r="K66" s="39"/>
      <c r="L66" s="39"/>
      <c r="M66" s="39"/>
      <c r="O66" s="28"/>
      <c r="P66" s="39"/>
      <c r="Q66" s="22">
        <f t="shared" si="2"/>
        <v>0</v>
      </c>
      <c r="R66" s="39"/>
      <c r="S66" s="39"/>
      <c r="T66" s="108" t="e">
        <f t="shared" si="8"/>
        <v>#DIV/0!</v>
      </c>
      <c r="U66" s="84"/>
    </row>
    <row r="67" spans="1:21" ht="12.75" hidden="1">
      <c r="A67" s="37" t="s">
        <v>618</v>
      </c>
      <c r="B67" s="38">
        <v>33.4117</v>
      </c>
      <c r="C67" s="39"/>
      <c r="D67" s="39"/>
      <c r="E67" s="39"/>
      <c r="F67" s="39">
        <v>4000</v>
      </c>
      <c r="G67" s="39">
        <v>700</v>
      </c>
      <c r="H67" s="39"/>
      <c r="I67" s="39"/>
      <c r="J67" s="39"/>
      <c r="K67" s="39"/>
      <c r="L67" s="39"/>
      <c r="M67" s="39"/>
      <c r="O67" s="28"/>
      <c r="P67" s="39"/>
      <c r="Q67" s="22">
        <f t="shared" si="2"/>
        <v>0</v>
      </c>
      <c r="R67" s="39"/>
      <c r="S67" s="39"/>
      <c r="T67" s="108" t="e">
        <f t="shared" si="8"/>
        <v>#DIV/0!</v>
      </c>
      <c r="U67" s="84"/>
    </row>
    <row r="68" spans="1:21" ht="12.75" hidden="1">
      <c r="A68" s="37" t="s">
        <v>507</v>
      </c>
      <c r="B68" s="38">
        <v>33.4118</v>
      </c>
      <c r="C68" s="39"/>
      <c r="D68" s="39"/>
      <c r="E68" s="39"/>
      <c r="F68" s="39"/>
      <c r="G68" s="39"/>
      <c r="H68" s="39">
        <v>16498</v>
      </c>
      <c r="I68" s="39">
        <v>37841</v>
      </c>
      <c r="J68" s="39"/>
      <c r="K68" s="39"/>
      <c r="L68" s="39"/>
      <c r="M68" s="39"/>
      <c r="O68" s="28"/>
      <c r="P68" s="39"/>
      <c r="Q68" s="22">
        <f t="shared" si="2"/>
        <v>0</v>
      </c>
      <c r="R68" s="39"/>
      <c r="S68" s="39"/>
      <c r="T68" s="108" t="e">
        <f t="shared" si="8"/>
        <v>#DIV/0!</v>
      </c>
      <c r="U68" s="84"/>
    </row>
    <row r="69" spans="1:21" ht="12.75" hidden="1">
      <c r="A69" s="37" t="s">
        <v>874</v>
      </c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O69" s="28">
        <f>(12/$N$2)*N69</f>
        <v>0</v>
      </c>
      <c r="P69" s="39">
        <v>10000</v>
      </c>
      <c r="Q69" s="22">
        <f t="shared" si="2"/>
        <v>-10000</v>
      </c>
      <c r="R69" s="39"/>
      <c r="S69" s="39"/>
      <c r="T69" s="108">
        <f t="shared" si="8"/>
        <v>-1</v>
      </c>
      <c r="U69" s="84"/>
    </row>
    <row r="70" spans="1:21" ht="12.75">
      <c r="A70" s="37" t="s">
        <v>873</v>
      </c>
      <c r="B70" s="38">
        <v>33.4119</v>
      </c>
      <c r="C70" s="39"/>
      <c r="D70" s="39"/>
      <c r="E70" s="39"/>
      <c r="F70" s="39"/>
      <c r="G70" s="39"/>
      <c r="H70" s="39">
        <f>9108+7468</f>
        <v>16576</v>
      </c>
      <c r="I70" s="39"/>
      <c r="J70" s="39">
        <v>44323.5</v>
      </c>
      <c r="K70" s="39">
        <v>61825.1</v>
      </c>
      <c r="L70" s="39">
        <v>38248</v>
      </c>
      <c r="M70" s="39">
        <v>30244</v>
      </c>
      <c r="N70" s="28">
        <v>5314</v>
      </c>
      <c r="O70" s="28">
        <f>(12/$N$2)*N70</f>
        <v>5797.090909090909</v>
      </c>
      <c r="P70" s="39">
        <v>40000</v>
      </c>
      <c r="Q70" s="22">
        <f t="shared" si="2"/>
        <v>-34202.90909090909</v>
      </c>
      <c r="R70" s="39">
        <v>20000</v>
      </c>
      <c r="S70" s="39">
        <v>20000</v>
      </c>
      <c r="T70" s="108">
        <f t="shared" si="8"/>
        <v>-0.5</v>
      </c>
      <c r="U70" s="84"/>
    </row>
    <row r="71" spans="1:21" ht="12.75" hidden="1">
      <c r="A71" s="37" t="s">
        <v>557</v>
      </c>
      <c r="B71" s="38">
        <v>33.4121</v>
      </c>
      <c r="C71" s="39"/>
      <c r="D71" s="39"/>
      <c r="E71" s="39"/>
      <c r="F71" s="39"/>
      <c r="G71" s="39"/>
      <c r="H71" s="39"/>
      <c r="I71" s="39">
        <v>8800</v>
      </c>
      <c r="J71" s="39"/>
      <c r="K71" s="39"/>
      <c r="L71" s="39"/>
      <c r="M71" s="39"/>
      <c r="O71" s="28"/>
      <c r="P71" s="39"/>
      <c r="Q71" s="22">
        <f aca="true" t="shared" si="9" ref="Q71:Q125">O71-P71</f>
        <v>0</v>
      </c>
      <c r="R71" s="39"/>
      <c r="S71" s="39"/>
      <c r="T71" s="108" t="e">
        <f t="shared" si="8"/>
        <v>#DIV/0!</v>
      </c>
      <c r="U71" s="84"/>
    </row>
    <row r="72" spans="1:21" ht="12.75">
      <c r="A72" s="37" t="s">
        <v>874</v>
      </c>
      <c r="B72" s="38">
        <v>33.4125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20">
        <v>3992</v>
      </c>
      <c r="O72" s="28">
        <v>5000</v>
      </c>
      <c r="P72" s="39"/>
      <c r="Q72" s="22">
        <f t="shared" si="9"/>
        <v>5000</v>
      </c>
      <c r="R72" s="39">
        <v>10000</v>
      </c>
      <c r="S72" s="39">
        <v>10000</v>
      </c>
      <c r="T72" s="108"/>
      <c r="U72" s="84"/>
    </row>
    <row r="73" spans="1:21" ht="12.75">
      <c r="A73" s="37" t="s">
        <v>976</v>
      </c>
      <c r="B73" s="38">
        <v>33.4126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20">
        <v>36124</v>
      </c>
      <c r="O73" s="28">
        <v>36124</v>
      </c>
      <c r="P73" s="39"/>
      <c r="Q73" s="22">
        <f t="shared" si="9"/>
        <v>36124</v>
      </c>
      <c r="R73" s="39"/>
      <c r="S73" s="39"/>
      <c r="T73" s="108"/>
      <c r="U73" s="84"/>
    </row>
    <row r="74" spans="1:22" ht="12" customHeight="1">
      <c r="A74" s="37" t="s">
        <v>774</v>
      </c>
      <c r="B74" s="38">
        <v>33.4212</v>
      </c>
      <c r="C74" s="39">
        <v>12000</v>
      </c>
      <c r="D74" s="39">
        <v>12000</v>
      </c>
      <c r="E74" s="39">
        <v>12000</v>
      </c>
      <c r="F74" s="39">
        <v>12000</v>
      </c>
      <c r="G74" s="39">
        <v>12000</v>
      </c>
      <c r="H74" s="39">
        <f>13516+1229</f>
        <v>14745</v>
      </c>
      <c r="I74" s="39">
        <v>14599</v>
      </c>
      <c r="J74" s="39">
        <v>12398</v>
      </c>
      <c r="K74" s="39">
        <v>2968</v>
      </c>
      <c r="L74" s="39"/>
      <c r="M74" s="39"/>
      <c r="N74" s="28"/>
      <c r="O74" s="28"/>
      <c r="P74" s="39"/>
      <c r="Q74" s="22">
        <f t="shared" si="9"/>
        <v>0</v>
      </c>
      <c r="R74" s="39"/>
      <c r="S74" s="39"/>
      <c r="T74" s="108"/>
      <c r="U74" s="84" t="e">
        <f>(S74-P74)/P74</f>
        <v>#DIV/0!</v>
      </c>
      <c r="V74" s="20" t="s">
        <v>705</v>
      </c>
    </row>
    <row r="75" spans="1:21" ht="12.75" hidden="1">
      <c r="A75" s="37" t="s">
        <v>98</v>
      </c>
      <c r="B75" s="38">
        <v>33.4214</v>
      </c>
      <c r="C75" s="39">
        <v>720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O75" s="28"/>
      <c r="P75" s="39"/>
      <c r="Q75" s="22">
        <f t="shared" si="9"/>
        <v>0</v>
      </c>
      <c r="R75" s="39"/>
      <c r="S75" s="39"/>
      <c r="T75" s="108" t="e">
        <f t="shared" si="8"/>
        <v>#DIV/0!</v>
      </c>
      <c r="U75" s="84"/>
    </row>
    <row r="76" spans="1:21" ht="12.75">
      <c r="A76" s="37" t="s">
        <v>775</v>
      </c>
      <c r="B76" s="38">
        <v>33.4215</v>
      </c>
      <c r="C76" s="39">
        <v>1768</v>
      </c>
      <c r="D76" s="39">
        <v>3102</v>
      </c>
      <c r="E76" s="39"/>
      <c r="F76" s="39">
        <v>3102</v>
      </c>
      <c r="G76" s="39">
        <v>3102</v>
      </c>
      <c r="H76" s="39">
        <v>3102</v>
      </c>
      <c r="I76" s="39">
        <v>6824</v>
      </c>
      <c r="J76" s="39"/>
      <c r="K76" s="39">
        <v>4963</v>
      </c>
      <c r="L76" s="39">
        <v>4963</v>
      </c>
      <c r="M76" s="39">
        <v>6899</v>
      </c>
      <c r="N76" s="20">
        <v>6899</v>
      </c>
      <c r="O76" s="39">
        <v>6900</v>
      </c>
      <c r="P76" s="39">
        <v>5000</v>
      </c>
      <c r="Q76" s="22">
        <f>O76-P76</f>
        <v>1900</v>
      </c>
      <c r="R76" s="39">
        <v>5000</v>
      </c>
      <c r="S76" s="39">
        <v>5000</v>
      </c>
      <c r="T76" s="108">
        <f t="shared" si="8"/>
        <v>0</v>
      </c>
      <c r="U76" s="84">
        <f>(S76-P76)/P76</f>
        <v>0</v>
      </c>
    </row>
    <row r="77" spans="1:21" ht="12.75" hidden="1">
      <c r="A77" s="37" t="s">
        <v>470</v>
      </c>
      <c r="B77" s="38">
        <v>33.4311</v>
      </c>
      <c r="C77" s="39"/>
      <c r="D77" s="39"/>
      <c r="E77" s="39"/>
      <c r="F77" s="39">
        <v>8000</v>
      </c>
      <c r="G77" s="39"/>
      <c r="H77" s="39"/>
      <c r="I77" s="39"/>
      <c r="J77" s="39"/>
      <c r="K77" s="39"/>
      <c r="L77" s="39"/>
      <c r="M77" s="39"/>
      <c r="O77" s="28"/>
      <c r="P77" s="39"/>
      <c r="Q77" s="22">
        <f t="shared" si="9"/>
        <v>0</v>
      </c>
      <c r="R77" s="39"/>
      <c r="S77" s="39"/>
      <c r="T77" s="108" t="e">
        <f>(R77-P77)/P77</f>
        <v>#DIV/0!</v>
      </c>
      <c r="U77" s="84"/>
    </row>
    <row r="78" spans="1:21" ht="12.75" hidden="1">
      <c r="A78" s="37" t="s">
        <v>75</v>
      </c>
      <c r="B78" s="38">
        <v>33.4216</v>
      </c>
      <c r="C78" s="39"/>
      <c r="D78" s="39"/>
      <c r="E78" s="39"/>
      <c r="F78" s="39"/>
      <c r="G78" s="39"/>
      <c r="H78" s="39"/>
      <c r="I78" s="39"/>
      <c r="J78" s="39"/>
      <c r="K78" s="39"/>
      <c r="L78" s="39">
        <v>10390</v>
      </c>
      <c r="M78" s="39"/>
      <c r="O78" s="28"/>
      <c r="P78" s="39"/>
      <c r="Q78" s="22">
        <f t="shared" si="9"/>
        <v>0</v>
      </c>
      <c r="R78" s="39"/>
      <c r="S78" s="39"/>
      <c r="T78" s="108"/>
      <c r="U78" s="84"/>
    </row>
    <row r="79" spans="1:21" ht="12.75">
      <c r="A79" s="37" t="s">
        <v>559</v>
      </c>
      <c r="B79" s="38">
        <v>33.51</v>
      </c>
      <c r="C79" s="39"/>
      <c r="D79" s="39">
        <v>54909</v>
      </c>
      <c r="E79" s="39">
        <v>111010</v>
      </c>
      <c r="F79" s="39">
        <v>187975</v>
      </c>
      <c r="G79" s="39">
        <v>216356</v>
      </c>
      <c r="H79" s="39">
        <v>222574</v>
      </c>
      <c r="I79" s="39">
        <v>224765</v>
      </c>
      <c r="J79" s="39">
        <v>205474</v>
      </c>
      <c r="K79" s="39">
        <v>207572</v>
      </c>
      <c r="L79" s="39">
        <v>201681</v>
      </c>
      <c r="M79" s="39">
        <v>200067</v>
      </c>
      <c r="N79" s="28">
        <v>0</v>
      </c>
      <c r="O79" s="163"/>
      <c r="P79" s="39"/>
      <c r="Q79" s="22">
        <f t="shared" si="9"/>
        <v>0</v>
      </c>
      <c r="R79" s="39"/>
      <c r="S79" s="39"/>
      <c r="T79" s="108"/>
      <c r="U79" s="84" t="e">
        <f>(S79-P79)/P79</f>
        <v>#DIV/0!</v>
      </c>
    </row>
    <row r="80" spans="1:21" ht="12.75">
      <c r="A80" s="37" t="s">
        <v>695</v>
      </c>
      <c r="B80" s="38"/>
      <c r="C80" s="39"/>
      <c r="D80" s="39"/>
      <c r="E80" s="39"/>
      <c r="F80" s="39"/>
      <c r="G80" s="39"/>
      <c r="H80" s="39"/>
      <c r="I80" s="39"/>
      <c r="J80" s="39"/>
      <c r="K80" s="39">
        <v>450000</v>
      </c>
      <c r="L80" s="39">
        <v>10000</v>
      </c>
      <c r="M80" s="39"/>
      <c r="N80" s="28"/>
      <c r="O80" s="28"/>
      <c r="P80" s="39"/>
      <c r="Q80" s="22">
        <f t="shared" si="9"/>
        <v>0</v>
      </c>
      <c r="R80" s="39"/>
      <c r="S80" s="39"/>
      <c r="T80" s="108"/>
      <c r="U80" s="84"/>
    </row>
    <row r="81" spans="1:21" ht="12.75">
      <c r="A81" s="37" t="s">
        <v>32</v>
      </c>
      <c r="B81" s="45">
        <v>33.4123</v>
      </c>
      <c r="C81" s="39"/>
      <c r="D81" s="39"/>
      <c r="E81" s="39"/>
      <c r="F81" s="39"/>
      <c r="G81" s="39"/>
      <c r="H81" s="39"/>
      <c r="I81" s="39"/>
      <c r="J81" s="39"/>
      <c r="K81" s="39"/>
      <c r="L81" s="39">
        <v>15000</v>
      </c>
      <c r="M81" s="39">
        <v>0</v>
      </c>
      <c r="N81" s="28">
        <v>0</v>
      </c>
      <c r="O81" s="28"/>
      <c r="P81" s="39"/>
      <c r="Q81" s="22">
        <f t="shared" si="9"/>
        <v>0</v>
      </c>
      <c r="R81" s="39"/>
      <c r="S81" s="39"/>
      <c r="T81" s="108"/>
      <c r="U81" s="84"/>
    </row>
    <row r="82" spans="1:21" ht="12.75" hidden="1">
      <c r="A82" s="37" t="s">
        <v>39</v>
      </c>
      <c r="B82" s="45">
        <v>33.4124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>
        <v>0</v>
      </c>
      <c r="N82" s="28">
        <v>0</v>
      </c>
      <c r="O82" s="28"/>
      <c r="P82" s="39"/>
      <c r="Q82" s="22">
        <f t="shared" si="9"/>
        <v>0</v>
      </c>
      <c r="R82" s="39"/>
      <c r="S82" s="39"/>
      <c r="T82" s="108"/>
      <c r="U82" s="84"/>
    </row>
    <row r="83" spans="1:22" ht="12.75">
      <c r="A83" s="37" t="s">
        <v>558</v>
      </c>
      <c r="B83" s="38">
        <v>34.112</v>
      </c>
      <c r="C83" s="39"/>
      <c r="D83" s="39"/>
      <c r="E83" s="39">
        <v>5608</v>
      </c>
      <c r="F83" s="39">
        <v>6265</v>
      </c>
      <c r="G83" s="39">
        <v>5522</v>
      </c>
      <c r="H83" s="39">
        <v>7360</v>
      </c>
      <c r="I83" s="39">
        <v>8374</v>
      </c>
      <c r="J83" s="39">
        <v>8426</v>
      </c>
      <c r="K83" s="39">
        <v>7314</v>
      </c>
      <c r="L83" s="39">
        <v>429</v>
      </c>
      <c r="M83" s="39"/>
      <c r="N83" s="28"/>
      <c r="O83" s="28"/>
      <c r="P83" s="39"/>
      <c r="Q83" s="22">
        <f t="shared" si="9"/>
        <v>0</v>
      </c>
      <c r="R83" s="39"/>
      <c r="S83" s="39"/>
      <c r="T83" s="108"/>
      <c r="U83" s="84" t="e">
        <f>(S83-P83)/P83</f>
        <v>#DIV/0!</v>
      </c>
      <c r="V83" s="20" t="s">
        <v>40</v>
      </c>
    </row>
    <row r="84" spans="1:21" ht="12.75">
      <c r="A84" s="37" t="s">
        <v>476</v>
      </c>
      <c r="B84" s="38">
        <v>34.13</v>
      </c>
      <c r="C84" s="39"/>
      <c r="D84" s="39"/>
      <c r="E84" s="39"/>
      <c r="F84" s="39"/>
      <c r="G84" s="39">
        <v>3000</v>
      </c>
      <c r="H84" s="39"/>
      <c r="I84" s="39">
        <v>2000</v>
      </c>
      <c r="J84" s="39">
        <v>4500</v>
      </c>
      <c r="K84" s="39">
        <v>2500</v>
      </c>
      <c r="L84" s="39">
        <v>2100</v>
      </c>
      <c r="M84" s="39">
        <v>0</v>
      </c>
      <c r="N84" s="28">
        <v>0</v>
      </c>
      <c r="O84" s="28"/>
      <c r="P84" s="39">
        <v>1000</v>
      </c>
      <c r="Q84" s="22">
        <f t="shared" si="9"/>
        <v>-1000</v>
      </c>
      <c r="R84" s="39"/>
      <c r="S84" s="39"/>
      <c r="T84" s="108">
        <f>(R84-P84)/P84</f>
        <v>-1</v>
      </c>
      <c r="U84" s="84"/>
    </row>
    <row r="85" spans="1:21" ht="12.75">
      <c r="A85" s="37" t="s">
        <v>776</v>
      </c>
      <c r="B85" s="38">
        <v>34.1391</v>
      </c>
      <c r="C85" s="39"/>
      <c r="D85" s="39">
        <v>6821</v>
      </c>
      <c r="E85" s="39">
        <v>9926</v>
      </c>
      <c r="F85" s="39">
        <v>4892</v>
      </c>
      <c r="G85" s="39">
        <v>667</v>
      </c>
      <c r="H85" s="39">
        <v>10451</v>
      </c>
      <c r="I85" s="39">
        <f>8726+465</f>
        <v>9191</v>
      </c>
      <c r="J85" s="39">
        <v>5289</v>
      </c>
      <c r="K85" s="39">
        <v>2687</v>
      </c>
      <c r="L85" s="39">
        <f>8037+620</f>
        <v>8657</v>
      </c>
      <c r="M85" s="39">
        <v>7271</v>
      </c>
      <c r="N85" s="28">
        <v>6609</v>
      </c>
      <c r="O85" s="28">
        <f>(12/$N$2)*N85</f>
        <v>7209.818181818181</v>
      </c>
      <c r="P85" s="39">
        <v>6000</v>
      </c>
      <c r="Q85" s="22">
        <f t="shared" si="9"/>
        <v>1209.818181818181</v>
      </c>
      <c r="R85" s="39">
        <v>7200</v>
      </c>
      <c r="S85" s="39">
        <v>7200</v>
      </c>
      <c r="T85" s="108">
        <f>(R85-P85)/P85</f>
        <v>0.2</v>
      </c>
      <c r="U85" s="84">
        <f>(S85-P85)/P85</f>
        <v>0.2</v>
      </c>
    </row>
    <row r="86" spans="1:21" ht="12.75" hidden="1">
      <c r="A86" s="37" t="s">
        <v>777</v>
      </c>
      <c r="B86" s="38">
        <v>34.191</v>
      </c>
      <c r="C86" s="39"/>
      <c r="D86" s="39">
        <v>5206</v>
      </c>
      <c r="E86" s="39"/>
      <c r="F86" s="39"/>
      <c r="G86" s="39"/>
      <c r="H86" s="39">
        <v>6790</v>
      </c>
      <c r="I86" s="39"/>
      <c r="J86" s="39">
        <v>549</v>
      </c>
      <c r="K86" s="39"/>
      <c r="L86" s="39"/>
      <c r="M86" s="39"/>
      <c r="O86" s="28">
        <f>(12/$N$2)*N86</f>
        <v>0</v>
      </c>
      <c r="P86" s="39"/>
      <c r="Q86" s="22">
        <f t="shared" si="9"/>
        <v>0</v>
      </c>
      <c r="R86" s="39"/>
      <c r="S86" s="39"/>
      <c r="T86" s="108"/>
      <c r="U86" s="84"/>
    </row>
    <row r="87" spans="1:21" ht="12.75">
      <c r="A87" s="37" t="s">
        <v>778</v>
      </c>
      <c r="B87" s="38">
        <v>34.193</v>
      </c>
      <c r="C87" s="39">
        <v>1005</v>
      </c>
      <c r="D87" s="39">
        <v>2080</v>
      </c>
      <c r="E87" s="39">
        <v>1291</v>
      </c>
      <c r="F87" s="39">
        <v>84</v>
      </c>
      <c r="G87" s="39">
        <v>143</v>
      </c>
      <c r="H87" s="39">
        <v>344</v>
      </c>
      <c r="I87" s="39">
        <v>2798</v>
      </c>
      <c r="J87" s="39">
        <v>847</v>
      </c>
      <c r="K87" s="39">
        <v>672</v>
      </c>
      <c r="L87" s="39">
        <v>437</v>
      </c>
      <c r="M87" s="39">
        <v>189</v>
      </c>
      <c r="N87" s="28">
        <v>497</v>
      </c>
      <c r="O87" s="28">
        <f>(12/$N$2)*N87</f>
        <v>542.1818181818181</v>
      </c>
      <c r="P87" s="39">
        <v>200</v>
      </c>
      <c r="Q87" s="22">
        <f t="shared" si="9"/>
        <v>342.18181818181813</v>
      </c>
      <c r="R87" s="39">
        <v>500</v>
      </c>
      <c r="S87" s="39">
        <v>500</v>
      </c>
      <c r="T87" s="108">
        <f>(R87-P87)/P87</f>
        <v>1.5</v>
      </c>
      <c r="U87" s="84">
        <f>(S87-P87)/P87</f>
        <v>1.5</v>
      </c>
    </row>
    <row r="88" spans="1:21" ht="12.75">
      <c r="A88" s="37" t="s">
        <v>779</v>
      </c>
      <c r="B88" s="38">
        <v>34.1935</v>
      </c>
      <c r="C88" s="39"/>
      <c r="D88" s="39"/>
      <c r="E88" s="39">
        <v>284</v>
      </c>
      <c r="F88" s="39">
        <v>325</v>
      </c>
      <c r="G88" s="39">
        <v>959</v>
      </c>
      <c r="H88" s="39">
        <f>601</f>
        <v>601</v>
      </c>
      <c r="I88" s="39">
        <v>843</v>
      </c>
      <c r="J88" s="39">
        <v>636</v>
      </c>
      <c r="K88" s="39">
        <v>1002</v>
      </c>
      <c r="L88" s="39">
        <v>412</v>
      </c>
      <c r="M88" s="39">
        <v>88</v>
      </c>
      <c r="N88" s="28">
        <v>361</v>
      </c>
      <c r="O88" s="28">
        <f>(12/$N$2)*N88</f>
        <v>393.8181818181818</v>
      </c>
      <c r="P88" s="39">
        <v>100</v>
      </c>
      <c r="Q88" s="22">
        <f t="shared" si="9"/>
        <v>293.8181818181818</v>
      </c>
      <c r="R88" s="39">
        <v>100</v>
      </c>
      <c r="S88" s="39">
        <v>100</v>
      </c>
      <c r="T88" s="108">
        <f>(R88-P88)/P88</f>
        <v>0</v>
      </c>
      <c r="U88" s="84">
        <f>(S88-P88)/P88</f>
        <v>0</v>
      </c>
    </row>
    <row r="89" spans="1:21" ht="12.75">
      <c r="A89" s="37" t="s">
        <v>780</v>
      </c>
      <c r="B89" s="38">
        <v>34.233</v>
      </c>
      <c r="C89" s="39">
        <v>47940</v>
      </c>
      <c r="D89" s="39">
        <v>10885</v>
      </c>
      <c r="E89" s="39">
        <v>23906</v>
      </c>
      <c r="F89" s="39">
        <v>32819</v>
      </c>
      <c r="G89" s="39">
        <v>30690</v>
      </c>
      <c r="H89" s="39">
        <v>61460</v>
      </c>
      <c r="I89" s="39">
        <v>27915</v>
      </c>
      <c r="J89" s="39">
        <v>46840</v>
      </c>
      <c r="K89" s="39">
        <v>27276</v>
      </c>
      <c r="L89" s="39">
        <v>27712</v>
      </c>
      <c r="M89" s="39">
        <v>43239</v>
      </c>
      <c r="N89" s="28">
        <v>36815</v>
      </c>
      <c r="O89" s="28">
        <f>(12/$N$2)*N89</f>
        <v>40161.81818181818</v>
      </c>
      <c r="P89" s="39">
        <v>40000</v>
      </c>
      <c r="Q89" s="22">
        <f t="shared" si="9"/>
        <v>161.81818181817653</v>
      </c>
      <c r="R89" s="39">
        <v>50000</v>
      </c>
      <c r="S89" s="39">
        <v>50000</v>
      </c>
      <c r="T89" s="108">
        <f>(R89-P89)/P89</f>
        <v>0.25</v>
      </c>
      <c r="U89" s="84">
        <f>(S89-P89)/P89</f>
        <v>0.25</v>
      </c>
    </row>
    <row r="90" spans="1:21" ht="12.75">
      <c r="A90" s="37" t="s">
        <v>713</v>
      </c>
      <c r="B90" s="38">
        <v>34.2335</v>
      </c>
      <c r="C90" s="39"/>
      <c r="D90" s="39"/>
      <c r="E90" s="39"/>
      <c r="F90" s="39"/>
      <c r="G90" s="39"/>
      <c r="H90" s="39"/>
      <c r="I90" s="39"/>
      <c r="J90" s="39"/>
      <c r="K90" s="39">
        <v>13200</v>
      </c>
      <c r="L90" s="39">
        <v>800</v>
      </c>
      <c r="M90" s="39">
        <v>800</v>
      </c>
      <c r="N90" s="28">
        <v>1630</v>
      </c>
      <c r="O90" s="28">
        <v>2000</v>
      </c>
      <c r="P90" s="39">
        <v>800</v>
      </c>
      <c r="Q90" s="22">
        <f t="shared" si="9"/>
        <v>1200</v>
      </c>
      <c r="R90" s="39">
        <v>1000</v>
      </c>
      <c r="S90" s="39">
        <v>1000</v>
      </c>
      <c r="T90" s="108">
        <f>(R90-P90)/P90</f>
        <v>0.25</v>
      </c>
      <c r="U90" s="84"/>
    </row>
    <row r="91" spans="1:22" ht="12.75">
      <c r="A91" s="37" t="s">
        <v>781</v>
      </c>
      <c r="B91" s="38">
        <v>34.234</v>
      </c>
      <c r="C91" s="39">
        <v>14338</v>
      </c>
      <c r="D91" s="39">
        <v>16708</v>
      </c>
      <c r="E91" s="39">
        <v>9894</v>
      </c>
      <c r="F91" s="39">
        <v>20562</v>
      </c>
      <c r="G91" s="39">
        <v>28236</v>
      </c>
      <c r="H91" s="39">
        <v>28383</v>
      </c>
      <c r="I91" s="39">
        <v>21265</v>
      </c>
      <c r="J91" s="39">
        <v>30697.91</v>
      </c>
      <c r="K91" s="39">
        <v>20789.5</v>
      </c>
      <c r="L91" s="39">
        <f>9885+1200</f>
        <v>11085</v>
      </c>
      <c r="M91" s="39">
        <v>9540</v>
      </c>
      <c r="N91" s="28">
        <v>2969</v>
      </c>
      <c r="O91" s="28">
        <v>4000</v>
      </c>
      <c r="P91" s="39"/>
      <c r="Q91" s="22">
        <f t="shared" si="9"/>
        <v>4000</v>
      </c>
      <c r="R91" s="39"/>
      <c r="S91" s="39"/>
      <c r="T91" s="108"/>
      <c r="U91" s="84" t="e">
        <f>(S91-P91)/P91</f>
        <v>#DIV/0!</v>
      </c>
      <c r="V91" s="45" t="s">
        <v>45</v>
      </c>
    </row>
    <row r="92" spans="1:22" ht="12.75">
      <c r="A92" s="37" t="s">
        <v>782</v>
      </c>
      <c r="B92" s="38">
        <v>34.26</v>
      </c>
      <c r="C92" s="39">
        <v>303986</v>
      </c>
      <c r="D92" s="39">
        <v>278843</v>
      </c>
      <c r="E92" s="39">
        <v>373359</v>
      </c>
      <c r="F92" s="39">
        <v>335216</v>
      </c>
      <c r="G92" s="39">
        <v>372944</v>
      </c>
      <c r="H92" s="39">
        <v>449612</v>
      </c>
      <c r="I92" s="39">
        <v>376838</v>
      </c>
      <c r="J92" s="39">
        <v>507965</v>
      </c>
      <c r="K92" s="39">
        <v>638191.03</v>
      </c>
      <c r="L92" s="39">
        <v>579209</v>
      </c>
      <c r="M92" s="39">
        <v>705288</v>
      </c>
      <c r="N92" s="28">
        <v>704646</v>
      </c>
      <c r="O92" s="28">
        <f>(12/$N$2)*N92</f>
        <v>768704.7272727272</v>
      </c>
      <c r="P92" s="39">
        <v>650000</v>
      </c>
      <c r="Q92" s="22">
        <f t="shared" si="9"/>
        <v>118704.72727272718</v>
      </c>
      <c r="R92" s="39">
        <v>770000</v>
      </c>
      <c r="S92" s="39">
        <v>770000</v>
      </c>
      <c r="T92" s="108">
        <f>(R92-P92)/P92</f>
        <v>0.18461538461538463</v>
      </c>
      <c r="U92" s="84">
        <f>(S92-P92)/P92</f>
        <v>0.18461538461538463</v>
      </c>
      <c r="V92" s="4"/>
    </row>
    <row r="93" spans="1:21" ht="12.75">
      <c r="A93" s="37" t="s">
        <v>783</v>
      </c>
      <c r="B93" s="38">
        <v>34.291</v>
      </c>
      <c r="C93" s="39">
        <v>11596</v>
      </c>
      <c r="D93" s="39">
        <v>12206</v>
      </c>
      <c r="E93" s="39">
        <v>21226</v>
      </c>
      <c r="F93" s="39">
        <v>18232</v>
      </c>
      <c r="G93" s="39">
        <v>23840</v>
      </c>
      <c r="H93" s="39">
        <v>24970</v>
      </c>
      <c r="I93" s="39">
        <v>25266</v>
      </c>
      <c r="J93" s="39">
        <v>29882</v>
      </c>
      <c r="K93" s="39">
        <v>31649</v>
      </c>
      <c r="L93" s="39">
        <v>38110</v>
      </c>
      <c r="M93" s="39">
        <v>40602</v>
      </c>
      <c r="N93" s="28">
        <v>38088</v>
      </c>
      <c r="O93" s="28">
        <f>(12/$N$2)*N93</f>
        <v>41550.54545454545</v>
      </c>
      <c r="P93" s="39">
        <v>40000</v>
      </c>
      <c r="Q93" s="22">
        <f t="shared" si="9"/>
        <v>1550.5454545454486</v>
      </c>
      <c r="R93" s="39">
        <v>40000</v>
      </c>
      <c r="S93" s="39">
        <v>40000</v>
      </c>
      <c r="T93" s="108">
        <f>(R93-P93)/P93</f>
        <v>0</v>
      </c>
      <c r="U93" s="84">
        <f>(S93-P93)/P93</f>
        <v>0</v>
      </c>
    </row>
    <row r="94" spans="1:21" ht="12.75" hidden="1">
      <c r="A94" s="37"/>
      <c r="B94" s="38">
        <v>34.551</v>
      </c>
      <c r="C94" s="39"/>
      <c r="D94" s="39">
        <v>6575</v>
      </c>
      <c r="E94" s="39"/>
      <c r="F94" s="39">
        <v>16836</v>
      </c>
      <c r="G94" s="39"/>
      <c r="H94" s="39"/>
      <c r="I94" s="39"/>
      <c r="J94" s="39"/>
      <c r="K94" s="39"/>
      <c r="L94" s="39"/>
      <c r="M94" s="39"/>
      <c r="O94" s="28">
        <f>(12/$N$2)*N94</f>
        <v>0</v>
      </c>
      <c r="P94" s="39"/>
      <c r="Q94" s="22">
        <f t="shared" si="9"/>
        <v>0</v>
      </c>
      <c r="R94" s="39"/>
      <c r="S94" s="39"/>
      <c r="T94" s="108" t="e">
        <f>(R94-P94)/P94</f>
        <v>#DIV/0!</v>
      </c>
      <c r="U94" s="84"/>
    </row>
    <row r="95" spans="1:21" ht="12.75">
      <c r="A95" s="37" t="s">
        <v>60</v>
      </c>
      <c r="B95" s="38">
        <v>34.292</v>
      </c>
      <c r="C95" s="39"/>
      <c r="D95" s="39"/>
      <c r="E95" s="39"/>
      <c r="F95" s="39"/>
      <c r="G95" s="39"/>
      <c r="H95" s="39"/>
      <c r="I95" s="39"/>
      <c r="J95" s="39"/>
      <c r="K95" s="39"/>
      <c r="L95" s="39">
        <v>2000</v>
      </c>
      <c r="M95" s="39">
        <v>1500</v>
      </c>
      <c r="N95" s="20">
        <v>0</v>
      </c>
      <c r="O95" s="28"/>
      <c r="P95" s="39">
        <v>1000</v>
      </c>
      <c r="Q95" s="22">
        <f t="shared" si="9"/>
        <v>-1000</v>
      </c>
      <c r="R95" s="39"/>
      <c r="S95" s="39"/>
      <c r="T95" s="108"/>
      <c r="U95" s="84"/>
    </row>
    <row r="96" spans="1:21" ht="12.75">
      <c r="A96" s="37" t="s">
        <v>784</v>
      </c>
      <c r="B96" s="38">
        <v>34.551</v>
      </c>
      <c r="C96" s="39">
        <v>1973</v>
      </c>
      <c r="D96" s="39">
        <v>2219</v>
      </c>
      <c r="E96" s="39">
        <v>2448</v>
      </c>
      <c r="F96" s="39">
        <v>2068</v>
      </c>
      <c r="G96" s="39">
        <v>2829</v>
      </c>
      <c r="H96" s="39">
        <v>3422</v>
      </c>
      <c r="I96" s="39">
        <v>2193</v>
      </c>
      <c r="J96" s="39">
        <v>1319</v>
      </c>
      <c r="K96" s="39">
        <v>2437</v>
      </c>
      <c r="L96" s="39">
        <v>1516</v>
      </c>
      <c r="M96" s="39">
        <v>1255</v>
      </c>
      <c r="N96" s="40">
        <v>2751</v>
      </c>
      <c r="O96" s="28">
        <f>(12/$N$2)*N96</f>
        <v>3001.090909090909</v>
      </c>
      <c r="P96" s="39">
        <v>1000</v>
      </c>
      <c r="Q96" s="22">
        <f t="shared" si="9"/>
        <v>2001.090909090909</v>
      </c>
      <c r="R96" s="39">
        <v>3000</v>
      </c>
      <c r="S96" s="39">
        <v>3000</v>
      </c>
      <c r="T96" s="108">
        <f>(R96-P96)/P96</f>
        <v>2</v>
      </c>
      <c r="U96" s="84">
        <f>(S96-P96)/P96</f>
        <v>2</v>
      </c>
    </row>
    <row r="97" spans="1:21" ht="12.75" hidden="1">
      <c r="A97" s="37" t="s">
        <v>110</v>
      </c>
      <c r="B97" s="38">
        <v>34.72</v>
      </c>
      <c r="C97" s="39"/>
      <c r="D97" s="39"/>
      <c r="E97" s="39">
        <v>375</v>
      </c>
      <c r="F97" s="39"/>
      <c r="G97" s="39"/>
      <c r="H97" s="39"/>
      <c r="I97" s="39"/>
      <c r="J97" s="39"/>
      <c r="K97" s="39"/>
      <c r="L97" s="39"/>
      <c r="M97" s="39"/>
      <c r="O97" s="28">
        <f>(12/$N$2)*N97</f>
        <v>0</v>
      </c>
      <c r="P97" s="39"/>
      <c r="Q97" s="22">
        <f t="shared" si="9"/>
        <v>0</v>
      </c>
      <c r="R97" s="39"/>
      <c r="S97" s="39"/>
      <c r="T97" s="108" t="e">
        <f>(R97-P97)/P97</f>
        <v>#DIV/0!</v>
      </c>
      <c r="U97" s="84"/>
    </row>
    <row r="98" spans="1:21" ht="12.75" hidden="1">
      <c r="A98" s="37" t="s">
        <v>100</v>
      </c>
      <c r="B98" s="38">
        <v>34.7205</v>
      </c>
      <c r="C98" s="39">
        <v>1251</v>
      </c>
      <c r="D98" s="39">
        <v>4165</v>
      </c>
      <c r="E98" s="39">
        <v>532</v>
      </c>
      <c r="F98" s="39">
        <v>277</v>
      </c>
      <c r="G98" s="39"/>
      <c r="H98" s="39">
        <v>998</v>
      </c>
      <c r="I98" s="39"/>
      <c r="J98" s="39"/>
      <c r="K98" s="39"/>
      <c r="L98" s="39"/>
      <c r="M98" s="39"/>
      <c r="N98" s="40"/>
      <c r="O98" s="28"/>
      <c r="P98" s="39"/>
      <c r="Q98" s="22">
        <f t="shared" si="9"/>
        <v>0</v>
      </c>
      <c r="R98" s="39"/>
      <c r="S98" s="39"/>
      <c r="T98" s="108" t="e">
        <f>(R98-P98)/P98</f>
        <v>#DIV/0!</v>
      </c>
      <c r="U98" s="84"/>
    </row>
    <row r="99" spans="1:21" ht="12.75">
      <c r="A99" s="37" t="s">
        <v>785</v>
      </c>
      <c r="B99" s="38">
        <v>34.721</v>
      </c>
      <c r="C99" s="39">
        <v>1650</v>
      </c>
      <c r="D99" s="39">
        <v>1620</v>
      </c>
      <c r="E99" s="39">
        <v>970</v>
      </c>
      <c r="F99" s="39">
        <v>2030</v>
      </c>
      <c r="G99" s="39">
        <v>1365</v>
      </c>
      <c r="H99" s="39">
        <v>1305</v>
      </c>
      <c r="I99" s="39">
        <v>1925</v>
      </c>
      <c r="J99" s="39">
        <v>2540</v>
      </c>
      <c r="K99" s="39">
        <v>3546</v>
      </c>
      <c r="L99" s="39">
        <v>2645</v>
      </c>
      <c r="M99" s="39">
        <v>3488</v>
      </c>
      <c r="N99" s="28">
        <v>3400</v>
      </c>
      <c r="O99" s="28">
        <v>3400</v>
      </c>
      <c r="P99" s="39">
        <v>3000</v>
      </c>
      <c r="Q99" s="22">
        <f t="shared" si="9"/>
        <v>400</v>
      </c>
      <c r="R99" s="39">
        <v>3000</v>
      </c>
      <c r="S99" s="39">
        <v>3000</v>
      </c>
      <c r="T99" s="108">
        <f>(R99-P99)/P99</f>
        <v>0</v>
      </c>
      <c r="U99" s="84">
        <f>(S99-P99)/P99</f>
        <v>0</v>
      </c>
    </row>
    <row r="100" spans="1:21" ht="12.75">
      <c r="A100" s="37" t="s">
        <v>786</v>
      </c>
      <c r="B100" s="38">
        <v>34.7212</v>
      </c>
      <c r="C100" s="39">
        <v>1295</v>
      </c>
      <c r="D100" s="39"/>
      <c r="E100" s="39">
        <v>597</v>
      </c>
      <c r="F100" s="39">
        <v>2759</v>
      </c>
      <c r="G100" s="39">
        <v>75</v>
      </c>
      <c r="H100" s="39"/>
      <c r="I100" s="39"/>
      <c r="J100" s="39"/>
      <c r="K100" s="39">
        <v>1050</v>
      </c>
      <c r="L100" s="39"/>
      <c r="M100" s="39">
        <v>0</v>
      </c>
      <c r="N100" s="40">
        <v>150</v>
      </c>
      <c r="O100" s="28"/>
      <c r="P100" s="39"/>
      <c r="Q100" s="22">
        <f t="shared" si="9"/>
        <v>0</v>
      </c>
      <c r="R100" s="39">
        <v>1000</v>
      </c>
      <c r="S100" s="39">
        <v>1000</v>
      </c>
      <c r="T100" s="108"/>
      <c r="U100" s="84"/>
    </row>
    <row r="101" spans="1:21" ht="12.75" hidden="1">
      <c r="A101" s="37" t="s">
        <v>101</v>
      </c>
      <c r="B101" s="38">
        <v>34.7214</v>
      </c>
      <c r="C101" s="39"/>
      <c r="D101" s="39"/>
      <c r="E101" s="39">
        <v>300</v>
      </c>
      <c r="F101" s="39"/>
      <c r="G101" s="39"/>
      <c r="H101" s="39"/>
      <c r="I101" s="39"/>
      <c r="J101" s="39"/>
      <c r="K101" s="39"/>
      <c r="L101" s="39"/>
      <c r="M101" s="39"/>
      <c r="O101" s="28"/>
      <c r="P101" s="39"/>
      <c r="Q101" s="22">
        <f t="shared" si="9"/>
        <v>0</v>
      </c>
      <c r="R101" s="39"/>
      <c r="S101" s="39"/>
      <c r="T101" s="108" t="e">
        <f>(R101-P101)/P101</f>
        <v>#DIV/0!</v>
      </c>
      <c r="U101" s="84"/>
    </row>
    <row r="102" spans="1:21" ht="12.75">
      <c r="A102" s="37" t="s">
        <v>787</v>
      </c>
      <c r="B102" s="38">
        <v>34.731</v>
      </c>
      <c r="C102" s="39">
        <v>2200</v>
      </c>
      <c r="D102" s="39">
        <v>4254</v>
      </c>
      <c r="E102" s="39">
        <v>4234</v>
      </c>
      <c r="F102" s="39">
        <v>2673</v>
      </c>
      <c r="G102" s="39">
        <v>3479</v>
      </c>
      <c r="H102" s="39">
        <v>3785</v>
      </c>
      <c r="I102" s="39">
        <v>5391</v>
      </c>
      <c r="J102" s="39">
        <v>6709</v>
      </c>
      <c r="K102" s="39">
        <v>7277</v>
      </c>
      <c r="L102" s="39">
        <v>6983</v>
      </c>
      <c r="M102" s="39">
        <v>4359.4</v>
      </c>
      <c r="N102" s="28">
        <v>2382</v>
      </c>
      <c r="O102" s="28">
        <v>4000</v>
      </c>
      <c r="P102" s="39">
        <v>4500</v>
      </c>
      <c r="Q102" s="22">
        <f t="shared" si="9"/>
        <v>-500</v>
      </c>
      <c r="R102" s="39">
        <v>5000</v>
      </c>
      <c r="S102" s="39">
        <v>5000</v>
      </c>
      <c r="T102" s="108">
        <f>(R102-P102)/P102</f>
        <v>0.1111111111111111</v>
      </c>
      <c r="U102" s="84">
        <f>(S102-P102)/P102</f>
        <v>0.1111111111111111</v>
      </c>
    </row>
    <row r="103" spans="1:21" ht="12.75" hidden="1">
      <c r="A103" s="37" t="s">
        <v>471</v>
      </c>
      <c r="B103" s="38">
        <v>34.7312</v>
      </c>
      <c r="C103" s="39"/>
      <c r="D103" s="39"/>
      <c r="E103" s="39"/>
      <c r="F103" s="39">
        <v>1708</v>
      </c>
      <c r="G103" s="39"/>
      <c r="H103" s="39"/>
      <c r="I103" s="39"/>
      <c r="J103" s="39"/>
      <c r="K103" s="39"/>
      <c r="L103" s="39"/>
      <c r="M103" s="39"/>
      <c r="N103" s="40"/>
      <c r="O103" s="28"/>
      <c r="P103" s="39"/>
      <c r="Q103" s="22">
        <f t="shared" si="9"/>
        <v>0</v>
      </c>
      <c r="R103" s="39"/>
      <c r="S103" s="39"/>
      <c r="T103" s="108" t="e">
        <f>(R103-P103)/P103</f>
        <v>#DIV/0!</v>
      </c>
      <c r="U103" s="84"/>
    </row>
    <row r="104" spans="1:21" ht="12.75">
      <c r="A104" s="41" t="s">
        <v>788</v>
      </c>
      <c r="B104" s="38">
        <v>34.7315</v>
      </c>
      <c r="C104" s="39"/>
      <c r="D104" s="39"/>
      <c r="E104" s="39"/>
      <c r="F104" s="39">
        <v>10185</v>
      </c>
      <c r="G104" s="39">
        <v>12638</v>
      </c>
      <c r="H104" s="39">
        <v>10915</v>
      </c>
      <c r="I104" s="39">
        <v>11235</v>
      </c>
      <c r="J104" s="39">
        <v>7804</v>
      </c>
      <c r="K104" s="39">
        <v>10904</v>
      </c>
      <c r="L104" s="39">
        <v>4360</v>
      </c>
      <c r="M104" s="39">
        <v>6031</v>
      </c>
      <c r="N104" s="28">
        <v>2100</v>
      </c>
      <c r="O104" s="28">
        <v>2100</v>
      </c>
      <c r="P104" s="39">
        <v>6000</v>
      </c>
      <c r="Q104" s="22">
        <f t="shared" si="9"/>
        <v>-3900</v>
      </c>
      <c r="R104" s="39">
        <v>6000</v>
      </c>
      <c r="S104" s="39">
        <v>6000</v>
      </c>
      <c r="T104" s="108">
        <f>(R104-P104)/P104</f>
        <v>0</v>
      </c>
      <c r="U104" s="84">
        <f>(S104-P104)/P104</f>
        <v>0</v>
      </c>
    </row>
    <row r="105" spans="1:21" ht="12" customHeight="1">
      <c r="A105" s="41" t="s">
        <v>793</v>
      </c>
      <c r="B105" s="38">
        <v>34.7318</v>
      </c>
      <c r="C105" s="39"/>
      <c r="D105" s="39"/>
      <c r="E105" s="39"/>
      <c r="F105" s="39"/>
      <c r="G105" s="39"/>
      <c r="H105" s="39">
        <v>2750</v>
      </c>
      <c r="I105" s="39">
        <v>2072</v>
      </c>
      <c r="J105" s="39">
        <v>1709</v>
      </c>
      <c r="K105" s="39">
        <v>1366</v>
      </c>
      <c r="L105" s="39">
        <v>1050</v>
      </c>
      <c r="M105" s="39">
        <v>0</v>
      </c>
      <c r="N105" s="40">
        <v>0</v>
      </c>
      <c r="O105" s="28"/>
      <c r="P105" s="39"/>
      <c r="Q105" s="22">
        <f t="shared" si="9"/>
        <v>0</v>
      </c>
      <c r="R105" s="39"/>
      <c r="S105" s="39"/>
      <c r="T105" s="108"/>
      <c r="U105" s="84"/>
    </row>
    <row r="106" spans="1:21" ht="12.75" hidden="1">
      <c r="A106" s="37" t="s">
        <v>792</v>
      </c>
      <c r="B106" s="38">
        <v>34.732</v>
      </c>
      <c r="C106" s="39">
        <v>497</v>
      </c>
      <c r="D106" s="39"/>
      <c r="E106" s="39"/>
      <c r="F106" s="39">
        <v>728</v>
      </c>
      <c r="G106" s="39"/>
      <c r="H106" s="39">
        <v>125</v>
      </c>
      <c r="I106" s="39"/>
      <c r="J106" s="39"/>
      <c r="K106" s="39"/>
      <c r="L106" s="39"/>
      <c r="M106" s="39"/>
      <c r="N106" s="40"/>
      <c r="O106" s="28"/>
      <c r="P106" s="39"/>
      <c r="Q106" s="22">
        <f t="shared" si="9"/>
        <v>0</v>
      </c>
      <c r="R106" s="39"/>
      <c r="S106" s="39"/>
      <c r="T106" s="108"/>
      <c r="U106" s="84"/>
    </row>
    <row r="107" spans="1:21" ht="12.75" hidden="1">
      <c r="A107" s="37" t="s">
        <v>791</v>
      </c>
      <c r="B107" s="38">
        <v>34.733</v>
      </c>
      <c r="C107" s="39" t="s">
        <v>102</v>
      </c>
      <c r="D107" s="39">
        <v>900</v>
      </c>
      <c r="E107" s="39">
        <v>2056</v>
      </c>
      <c r="F107" s="39">
        <v>2337</v>
      </c>
      <c r="G107" s="39">
        <v>187</v>
      </c>
      <c r="H107" s="39"/>
      <c r="I107" s="39">
        <v>400</v>
      </c>
      <c r="J107" s="39"/>
      <c r="K107" s="39"/>
      <c r="L107" s="39"/>
      <c r="M107" s="39"/>
      <c r="N107" s="40"/>
      <c r="O107" s="28"/>
      <c r="P107" s="39"/>
      <c r="Q107" s="22">
        <f t="shared" si="9"/>
        <v>0</v>
      </c>
      <c r="R107" s="39"/>
      <c r="S107" s="39"/>
      <c r="T107" s="108"/>
      <c r="U107" s="84"/>
    </row>
    <row r="108" spans="1:21" ht="12.75">
      <c r="A108" s="37" t="s">
        <v>896</v>
      </c>
      <c r="B108" s="38">
        <v>34.75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0">
        <v>90</v>
      </c>
      <c r="O108" s="28">
        <v>90</v>
      </c>
      <c r="P108" s="39"/>
      <c r="Q108" s="22">
        <f t="shared" si="9"/>
        <v>90</v>
      </c>
      <c r="R108" s="39">
        <v>2500</v>
      </c>
      <c r="S108" s="39">
        <v>2500</v>
      </c>
      <c r="T108" s="108"/>
      <c r="U108" s="84"/>
    </row>
    <row r="109" spans="1:21" ht="12.75">
      <c r="A109" s="37" t="s">
        <v>790</v>
      </c>
      <c r="B109" s="38">
        <v>34.751</v>
      </c>
      <c r="C109" s="39">
        <v>10240</v>
      </c>
      <c r="D109" s="39">
        <v>10084</v>
      </c>
      <c r="E109" s="39">
        <v>1700</v>
      </c>
      <c r="F109" s="39">
        <v>9603</v>
      </c>
      <c r="G109" s="39">
        <v>10414</v>
      </c>
      <c r="H109" s="39">
        <v>11535</v>
      </c>
      <c r="I109" s="39">
        <v>8270</v>
      </c>
      <c r="J109" s="39">
        <v>10284</v>
      </c>
      <c r="K109" s="39">
        <v>10025</v>
      </c>
      <c r="L109" s="39">
        <v>8607</v>
      </c>
      <c r="M109" s="39">
        <v>6911</v>
      </c>
      <c r="N109" s="28">
        <v>10300</v>
      </c>
      <c r="O109" s="28">
        <v>10300</v>
      </c>
      <c r="P109" s="39">
        <v>7000</v>
      </c>
      <c r="Q109" s="22">
        <f t="shared" si="9"/>
        <v>3300</v>
      </c>
      <c r="R109" s="39">
        <v>10000</v>
      </c>
      <c r="S109" s="39">
        <v>10000</v>
      </c>
      <c r="T109" s="108">
        <f>(R109-P109)/P109</f>
        <v>0.42857142857142855</v>
      </c>
      <c r="U109" s="84">
        <f>(S109-P109)/P109</f>
        <v>0.42857142857142855</v>
      </c>
    </row>
    <row r="110" spans="1:21" ht="12.75">
      <c r="A110" s="37" t="s">
        <v>222</v>
      </c>
      <c r="B110" s="38">
        <v>34.7515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>
        <v>1308</v>
      </c>
      <c r="N110" s="28">
        <v>0</v>
      </c>
      <c r="O110" s="28"/>
      <c r="P110" s="39"/>
      <c r="Q110" s="22">
        <f t="shared" si="9"/>
        <v>0</v>
      </c>
      <c r="R110" s="39">
        <v>3000</v>
      </c>
      <c r="S110" s="39">
        <v>3000</v>
      </c>
      <c r="T110" s="108"/>
      <c r="U110" s="84" t="s">
        <v>864</v>
      </c>
    </row>
    <row r="111" spans="1:21" ht="12.75">
      <c r="A111" s="37" t="s">
        <v>789</v>
      </c>
      <c r="B111" s="38">
        <v>34.752</v>
      </c>
      <c r="C111" s="39">
        <v>3720</v>
      </c>
      <c r="D111" s="39">
        <v>3720</v>
      </c>
      <c r="E111" s="39">
        <v>3900</v>
      </c>
      <c r="F111" s="39">
        <v>4200</v>
      </c>
      <c r="G111" s="39">
        <v>3232</v>
      </c>
      <c r="H111" s="39">
        <v>3300</v>
      </c>
      <c r="I111" s="39">
        <v>3080</v>
      </c>
      <c r="J111" s="39">
        <v>2660</v>
      </c>
      <c r="K111" s="39">
        <v>2649</v>
      </c>
      <c r="L111" s="39">
        <v>2968</v>
      </c>
      <c r="M111" s="39">
        <v>2409</v>
      </c>
      <c r="N111" s="28">
        <v>0</v>
      </c>
      <c r="O111" s="28"/>
      <c r="P111" s="39">
        <v>2400</v>
      </c>
      <c r="Q111" s="22">
        <f t="shared" si="9"/>
        <v>-2400</v>
      </c>
      <c r="R111" s="39">
        <v>2500</v>
      </c>
      <c r="S111" s="39">
        <v>2500</v>
      </c>
      <c r="T111" s="108">
        <f>(R111-P111)/P111</f>
        <v>0.041666666666666664</v>
      </c>
      <c r="U111" s="84">
        <f>(S111-P111)/P111</f>
        <v>0.041666666666666664</v>
      </c>
    </row>
    <row r="112" spans="1:21" ht="12.75">
      <c r="A112" s="41" t="s">
        <v>486</v>
      </c>
      <c r="B112" s="38">
        <v>34.753</v>
      </c>
      <c r="C112" s="39"/>
      <c r="D112" s="39"/>
      <c r="E112" s="39">
        <v>7280</v>
      </c>
      <c r="F112" s="39"/>
      <c r="G112" s="39">
        <v>260</v>
      </c>
      <c r="H112" s="39"/>
      <c r="I112" s="39">
        <v>2797</v>
      </c>
      <c r="J112" s="39"/>
      <c r="K112" s="39"/>
      <c r="L112" s="39"/>
      <c r="M112" s="39">
        <v>0</v>
      </c>
      <c r="N112" s="20">
        <v>0</v>
      </c>
      <c r="O112" s="28"/>
      <c r="P112" s="39"/>
      <c r="Q112" s="22">
        <f t="shared" si="9"/>
        <v>0</v>
      </c>
      <c r="R112" s="39"/>
      <c r="S112" s="39"/>
      <c r="T112" s="108"/>
      <c r="U112" s="84"/>
    </row>
    <row r="113" spans="1:21" ht="12.75">
      <c r="A113" s="37" t="s">
        <v>794</v>
      </c>
      <c r="B113" s="38">
        <v>34.754</v>
      </c>
      <c r="C113" s="39">
        <v>3184</v>
      </c>
      <c r="D113" s="39">
        <v>1846</v>
      </c>
      <c r="E113" s="39">
        <v>944</v>
      </c>
      <c r="F113" s="39">
        <v>1955</v>
      </c>
      <c r="G113" s="39">
        <v>2600</v>
      </c>
      <c r="H113" s="39">
        <v>2185</v>
      </c>
      <c r="I113" s="39"/>
      <c r="J113" s="39">
        <v>801</v>
      </c>
      <c r="K113" s="39">
        <v>1308</v>
      </c>
      <c r="L113" s="39">
        <v>1396</v>
      </c>
      <c r="M113" s="39">
        <v>1803</v>
      </c>
      <c r="N113" s="20">
        <v>0</v>
      </c>
      <c r="O113" s="28">
        <v>1500</v>
      </c>
      <c r="P113" s="39">
        <v>1500</v>
      </c>
      <c r="Q113" s="22">
        <f t="shared" si="9"/>
        <v>0</v>
      </c>
      <c r="R113" s="39">
        <v>2000</v>
      </c>
      <c r="S113" s="39">
        <v>2000</v>
      </c>
      <c r="T113" s="108">
        <f aca="true" t="shared" si="10" ref="T113:T119">(R113-P113)/P113</f>
        <v>0.3333333333333333</v>
      </c>
      <c r="U113" s="84">
        <f>(S113-P113)/P113</f>
        <v>0.3333333333333333</v>
      </c>
    </row>
    <row r="114" spans="1:21" ht="12.75" hidden="1">
      <c r="A114" s="41" t="s">
        <v>302</v>
      </c>
      <c r="B114" s="38">
        <v>34.755</v>
      </c>
      <c r="C114" s="39"/>
      <c r="D114" s="39"/>
      <c r="E114" s="39">
        <v>-105</v>
      </c>
      <c r="F114" s="39">
        <v>250</v>
      </c>
      <c r="G114" s="39"/>
      <c r="H114" s="39"/>
      <c r="I114" s="39"/>
      <c r="J114" s="39"/>
      <c r="K114" s="39"/>
      <c r="L114" s="39"/>
      <c r="M114" s="39"/>
      <c r="O114" s="28"/>
      <c r="P114" s="39"/>
      <c r="Q114" s="22">
        <f t="shared" si="9"/>
        <v>0</v>
      </c>
      <c r="R114" s="39"/>
      <c r="S114" s="39"/>
      <c r="T114" s="108" t="e">
        <f t="shared" si="10"/>
        <v>#DIV/0!</v>
      </c>
      <c r="U114" s="84"/>
    </row>
    <row r="115" spans="1:21" ht="12.75" hidden="1">
      <c r="A115" s="41" t="s">
        <v>103</v>
      </c>
      <c r="B115" s="38">
        <v>34.756</v>
      </c>
      <c r="C115" s="39"/>
      <c r="D115" s="39"/>
      <c r="E115" s="39">
        <v>500</v>
      </c>
      <c r="F115" s="39"/>
      <c r="G115" s="39"/>
      <c r="H115" s="39"/>
      <c r="I115" s="39"/>
      <c r="J115" s="39"/>
      <c r="K115" s="39"/>
      <c r="L115" s="39"/>
      <c r="M115" s="39"/>
      <c r="O115" s="28"/>
      <c r="P115" s="39"/>
      <c r="Q115" s="22">
        <f t="shared" si="9"/>
        <v>0</v>
      </c>
      <c r="R115" s="39"/>
      <c r="S115" s="39"/>
      <c r="T115" s="108" t="e">
        <f t="shared" si="10"/>
        <v>#DIV/0!</v>
      </c>
      <c r="U115" s="84"/>
    </row>
    <row r="116" spans="1:22" ht="12.75" hidden="1">
      <c r="A116" s="41" t="s">
        <v>472</v>
      </c>
      <c r="B116" s="38">
        <v>34.79</v>
      </c>
      <c r="C116" s="39"/>
      <c r="D116" s="39"/>
      <c r="E116" s="39"/>
      <c r="F116" s="39">
        <v>380</v>
      </c>
      <c r="G116" s="39"/>
      <c r="H116" s="39"/>
      <c r="I116" s="39"/>
      <c r="J116" s="39"/>
      <c r="K116" s="39"/>
      <c r="L116" s="39"/>
      <c r="M116" s="39"/>
      <c r="O116" s="28"/>
      <c r="P116" s="39"/>
      <c r="Q116" s="22">
        <f t="shared" si="9"/>
        <v>0</v>
      </c>
      <c r="R116" s="39"/>
      <c r="S116" s="39"/>
      <c r="T116" s="108" t="e">
        <f t="shared" si="10"/>
        <v>#DIV/0!</v>
      </c>
      <c r="U116" s="84"/>
      <c r="V116" s="4">
        <v>35.113</v>
      </c>
    </row>
    <row r="117" spans="1:22" ht="12.75">
      <c r="A117" s="37" t="s">
        <v>795</v>
      </c>
      <c r="B117" s="38">
        <v>34.791</v>
      </c>
      <c r="C117" s="39">
        <v>4236</v>
      </c>
      <c r="D117" s="39">
        <v>7396</v>
      </c>
      <c r="E117" s="39">
        <v>6413</v>
      </c>
      <c r="F117" s="39">
        <v>5837</v>
      </c>
      <c r="G117" s="39">
        <v>8102</v>
      </c>
      <c r="H117" s="39">
        <v>7101</v>
      </c>
      <c r="I117" s="39">
        <v>12177</v>
      </c>
      <c r="J117" s="39">
        <v>10166</v>
      </c>
      <c r="K117" s="39">
        <v>9118</v>
      </c>
      <c r="L117" s="39">
        <v>9981</v>
      </c>
      <c r="M117" s="39">
        <v>4346.1</v>
      </c>
      <c r="N117" s="28">
        <v>1798</v>
      </c>
      <c r="O117" s="28">
        <v>4400</v>
      </c>
      <c r="P117" s="39">
        <v>4400</v>
      </c>
      <c r="Q117" s="22">
        <f t="shared" si="9"/>
        <v>0</v>
      </c>
      <c r="R117" s="39">
        <v>9000</v>
      </c>
      <c r="S117" s="39">
        <v>9000</v>
      </c>
      <c r="T117" s="108">
        <f t="shared" si="10"/>
        <v>1.0454545454545454</v>
      </c>
      <c r="U117" s="84">
        <f>(S117-P117)/P117</f>
        <v>1.0454545454545454</v>
      </c>
      <c r="V117" s="4"/>
    </row>
    <row r="118" spans="1:22" ht="12.75">
      <c r="A118" s="37" t="s">
        <v>796</v>
      </c>
      <c r="B118" s="38">
        <v>34.792</v>
      </c>
      <c r="C118" s="39">
        <v>1739</v>
      </c>
      <c r="D118" s="39">
        <v>2200</v>
      </c>
      <c r="E118" s="39">
        <v>2330</v>
      </c>
      <c r="F118" s="39">
        <v>2525</v>
      </c>
      <c r="G118" s="39">
        <v>2300</v>
      </c>
      <c r="H118" s="39">
        <v>2050</v>
      </c>
      <c r="I118" s="39">
        <v>2072</v>
      </c>
      <c r="J118" s="39">
        <v>1185</v>
      </c>
      <c r="K118" s="39">
        <v>1645</v>
      </c>
      <c r="L118" s="39">
        <v>2542</v>
      </c>
      <c r="M118" s="39">
        <v>1100</v>
      </c>
      <c r="N118" s="28">
        <v>0</v>
      </c>
      <c r="O118" s="28"/>
      <c r="P118" s="39">
        <v>1100</v>
      </c>
      <c r="Q118" s="22">
        <f t="shared" si="9"/>
        <v>-1100</v>
      </c>
      <c r="R118" s="39">
        <v>2000</v>
      </c>
      <c r="S118" s="39">
        <v>2000</v>
      </c>
      <c r="T118" s="108">
        <f t="shared" si="10"/>
        <v>0.8181818181818182</v>
      </c>
      <c r="U118" s="84">
        <f>(S118-P118)/P118</f>
        <v>0.8181818181818182</v>
      </c>
      <c r="V118" s="4"/>
    </row>
    <row r="119" spans="1:21" ht="12.75">
      <c r="A119" s="37" t="s">
        <v>797</v>
      </c>
      <c r="B119" s="38">
        <v>34.793</v>
      </c>
      <c r="C119" s="39">
        <v>3590</v>
      </c>
      <c r="D119" s="39">
        <v>3650</v>
      </c>
      <c r="E119" s="39">
        <v>1850</v>
      </c>
      <c r="F119" s="39">
        <v>3650</v>
      </c>
      <c r="G119" s="39">
        <v>3830</v>
      </c>
      <c r="H119" s="39">
        <v>1900</v>
      </c>
      <c r="I119" s="39">
        <v>8019</v>
      </c>
      <c r="J119" s="39">
        <v>6592</v>
      </c>
      <c r="K119" s="39">
        <v>5857</v>
      </c>
      <c r="L119" s="39">
        <v>6341</v>
      </c>
      <c r="M119" s="39">
        <v>1501</v>
      </c>
      <c r="N119" s="28">
        <v>850</v>
      </c>
      <c r="O119" s="28">
        <v>1500</v>
      </c>
      <c r="P119" s="39">
        <v>1500</v>
      </c>
      <c r="Q119" s="22">
        <f t="shared" si="9"/>
        <v>0</v>
      </c>
      <c r="R119" s="39">
        <v>2500</v>
      </c>
      <c r="S119" s="39">
        <v>2500</v>
      </c>
      <c r="T119" s="108">
        <f t="shared" si="10"/>
        <v>0.6666666666666666</v>
      </c>
      <c r="U119" s="84">
        <f>(S119-P119)/P119</f>
        <v>0.6666666666666666</v>
      </c>
    </row>
    <row r="120" spans="1:22" ht="12.75" hidden="1">
      <c r="A120" s="37" t="s">
        <v>550</v>
      </c>
      <c r="B120" s="38">
        <v>34.7935</v>
      </c>
      <c r="C120" s="39"/>
      <c r="D120" s="39"/>
      <c r="E120" s="39"/>
      <c r="F120" s="39"/>
      <c r="G120" s="39"/>
      <c r="H120" s="39">
        <v>25</v>
      </c>
      <c r="I120" s="39"/>
      <c r="J120" s="39"/>
      <c r="K120" s="39"/>
      <c r="L120" s="39"/>
      <c r="M120" s="39"/>
      <c r="N120" s="40"/>
      <c r="O120" s="28"/>
      <c r="P120" s="39"/>
      <c r="Q120" s="22">
        <f t="shared" si="9"/>
        <v>0</v>
      </c>
      <c r="R120" s="39"/>
      <c r="S120" s="39"/>
      <c r="T120" s="108"/>
      <c r="U120" s="84"/>
      <c r="V120" s="4">
        <v>38.9053</v>
      </c>
    </row>
    <row r="121" spans="1:22" ht="12.75" hidden="1">
      <c r="A121" s="41" t="s">
        <v>375</v>
      </c>
      <c r="B121" s="38">
        <v>34.794</v>
      </c>
      <c r="C121" s="39"/>
      <c r="D121" s="39"/>
      <c r="F121" s="20">
        <v>424</v>
      </c>
      <c r="N121" s="39"/>
      <c r="O121" s="28">
        <f aca="true" t="shared" si="11" ref="O121:O128">(12/$N$2)*N121</f>
        <v>0</v>
      </c>
      <c r="P121" s="39"/>
      <c r="Q121" s="22">
        <f t="shared" si="9"/>
        <v>0</v>
      </c>
      <c r="R121" s="39"/>
      <c r="S121" s="39"/>
      <c r="T121" s="108" t="e">
        <f>(R121-P121)/P121</f>
        <v>#DIV/0!</v>
      </c>
      <c r="U121" s="84"/>
      <c r="V121" s="4">
        <v>38.9055</v>
      </c>
    </row>
    <row r="122" spans="1:22" ht="12.75" hidden="1">
      <c r="A122" s="41" t="s">
        <v>376</v>
      </c>
      <c r="B122" s="38">
        <v>34.9</v>
      </c>
      <c r="C122" s="39"/>
      <c r="D122" s="39"/>
      <c r="F122" s="20">
        <v>425</v>
      </c>
      <c r="N122" s="39"/>
      <c r="O122" s="28">
        <f t="shared" si="11"/>
        <v>0</v>
      </c>
      <c r="P122" s="39"/>
      <c r="Q122" s="22">
        <f t="shared" si="9"/>
        <v>0</v>
      </c>
      <c r="R122" s="39"/>
      <c r="S122" s="39"/>
      <c r="T122" s="108" t="e">
        <f>(R122-P122)/P122</f>
        <v>#DIV/0!</v>
      </c>
      <c r="U122" s="84"/>
      <c r="V122" s="4">
        <v>38.9057</v>
      </c>
    </row>
    <row r="123" spans="1:22" ht="12.75">
      <c r="A123" s="41" t="s">
        <v>977</v>
      </c>
      <c r="B123" s="38">
        <v>34.7945</v>
      </c>
      <c r="C123" s="39"/>
      <c r="D123" s="39"/>
      <c r="N123" s="39">
        <v>120</v>
      </c>
      <c r="O123" s="28">
        <v>200</v>
      </c>
      <c r="P123" s="39"/>
      <c r="Q123" s="22">
        <f t="shared" si="9"/>
        <v>200</v>
      </c>
      <c r="R123" s="39">
        <v>300</v>
      </c>
      <c r="S123" s="39">
        <v>300</v>
      </c>
      <c r="T123" s="108"/>
      <c r="U123" s="84"/>
      <c r="V123" s="4"/>
    </row>
    <row r="124" spans="1:22" ht="12.75">
      <c r="A124" s="37" t="s">
        <v>798</v>
      </c>
      <c r="B124" s="38">
        <v>35.111</v>
      </c>
      <c r="C124" s="39">
        <v>158390</v>
      </c>
      <c r="D124" s="39">
        <v>143788</v>
      </c>
      <c r="E124" s="39">
        <v>221147</v>
      </c>
      <c r="F124" s="39">
        <v>175880</v>
      </c>
      <c r="G124" s="39">
        <v>219989</v>
      </c>
      <c r="H124" s="39">
        <f>235224+13317</f>
        <v>248541</v>
      </c>
      <c r="I124" s="39">
        <f>183667+30</f>
        <v>183697</v>
      </c>
      <c r="J124" s="39">
        <v>207484.05</v>
      </c>
      <c r="K124" s="39">
        <v>190034</v>
      </c>
      <c r="L124" s="39">
        <f>169720+13096</f>
        <v>182816</v>
      </c>
      <c r="M124" s="39">
        <v>147777</v>
      </c>
      <c r="N124" s="28">
        <f>135600+3900</f>
        <v>139500</v>
      </c>
      <c r="O124" s="28">
        <f t="shared" si="11"/>
        <v>152181.81818181818</v>
      </c>
      <c r="P124" s="39">
        <v>136000</v>
      </c>
      <c r="Q124" s="22">
        <f t="shared" si="9"/>
        <v>16181.818181818177</v>
      </c>
      <c r="R124" s="39">
        <v>150000</v>
      </c>
      <c r="S124" s="39">
        <v>150000</v>
      </c>
      <c r="T124" s="108">
        <f>(R124-P124)/P124</f>
        <v>0.10294117647058823</v>
      </c>
      <c r="U124" s="84">
        <f>(S124-P124)/P124</f>
        <v>0.10294117647058823</v>
      </c>
      <c r="V124" s="4"/>
    </row>
    <row r="125" spans="1:21" ht="12.75">
      <c r="A125" s="37" t="s">
        <v>799</v>
      </c>
      <c r="B125" s="38">
        <v>35.113</v>
      </c>
      <c r="C125" s="39">
        <v>61288</v>
      </c>
      <c r="D125" s="39">
        <v>69440</v>
      </c>
      <c r="E125" s="39">
        <v>67907</v>
      </c>
      <c r="F125" s="39">
        <v>76448</v>
      </c>
      <c r="G125" s="39">
        <v>62421</v>
      </c>
      <c r="H125" s="39">
        <f>62128+8368</f>
        <v>70496</v>
      </c>
      <c r="I125" s="39">
        <v>68415</v>
      </c>
      <c r="J125" s="39">
        <v>62360</v>
      </c>
      <c r="K125" s="39">
        <v>84113</v>
      </c>
      <c r="L125" s="39">
        <v>71981</v>
      </c>
      <c r="M125" s="39">
        <v>81396</v>
      </c>
      <c r="N125" s="28">
        <v>48660</v>
      </c>
      <c r="O125" s="28">
        <f t="shared" si="11"/>
        <v>53083.63636363636</v>
      </c>
      <c r="P125" s="39">
        <v>76000</v>
      </c>
      <c r="Q125" s="22">
        <f t="shared" si="9"/>
        <v>-22916.36363636364</v>
      </c>
      <c r="R125" s="39">
        <v>55000</v>
      </c>
      <c r="S125" s="39">
        <v>55000</v>
      </c>
      <c r="T125" s="108">
        <f>(R125-P125)/P125</f>
        <v>-0.27631578947368424</v>
      </c>
      <c r="U125" s="84">
        <f>(S125-P125)/P125</f>
        <v>-0.27631578947368424</v>
      </c>
    </row>
    <row r="126" spans="1:21" ht="12.75">
      <c r="A126" s="37" t="s">
        <v>800</v>
      </c>
      <c r="B126" s="38">
        <v>35.115</v>
      </c>
      <c r="C126" s="39">
        <v>118429</v>
      </c>
      <c r="D126" s="39">
        <v>114273</v>
      </c>
      <c r="E126" s="39">
        <v>119520</v>
      </c>
      <c r="F126" s="39">
        <v>118290</v>
      </c>
      <c r="G126" s="39">
        <v>131578</v>
      </c>
      <c r="H126" s="39">
        <f>141867+11304</f>
        <v>153171</v>
      </c>
      <c r="I126" s="39">
        <f>131729+13333</f>
        <v>145062</v>
      </c>
      <c r="J126" s="39">
        <v>195037.34</v>
      </c>
      <c r="K126" s="39">
        <v>200573</v>
      </c>
      <c r="L126" s="39">
        <f>204323+22920</f>
        <v>227243</v>
      </c>
      <c r="M126" s="39">
        <v>251439</v>
      </c>
      <c r="N126" s="28">
        <v>214499</v>
      </c>
      <c r="O126" s="28">
        <f t="shared" si="11"/>
        <v>233998.90909090906</v>
      </c>
      <c r="P126" s="39">
        <v>250000</v>
      </c>
      <c r="Q126" s="22">
        <f>O126-P126</f>
        <v>-16001.09090909094</v>
      </c>
      <c r="R126" s="39">
        <v>230000</v>
      </c>
      <c r="S126" s="39">
        <v>230000</v>
      </c>
      <c r="T126" s="108">
        <f>(R126-P126)/P126</f>
        <v>-0.08</v>
      </c>
      <c r="U126" s="84">
        <f>(S126-P126)/P126</f>
        <v>-0.08</v>
      </c>
    </row>
    <row r="127" spans="1:21" ht="12.75" hidden="1">
      <c r="A127" s="37" t="s">
        <v>543</v>
      </c>
      <c r="B127" s="38">
        <v>35.116</v>
      </c>
      <c r="C127" s="39"/>
      <c r="D127" s="39"/>
      <c r="E127" s="39"/>
      <c r="F127" s="39"/>
      <c r="G127" s="39"/>
      <c r="H127" s="39">
        <f>2655+353+353+353+1230</f>
        <v>4944</v>
      </c>
      <c r="I127" s="39">
        <f>822+353+353+353+353</f>
        <v>2234</v>
      </c>
      <c r="J127" s="39"/>
      <c r="K127" s="39"/>
      <c r="L127" s="39"/>
      <c r="M127" s="39"/>
      <c r="N127" s="28"/>
      <c r="O127" s="28">
        <f t="shared" si="11"/>
        <v>0</v>
      </c>
      <c r="P127" s="39"/>
      <c r="Q127" s="22">
        <f aca="true" t="shared" si="12" ref="Q127:Q175">O127-P127</f>
        <v>0</v>
      </c>
      <c r="R127" s="39"/>
      <c r="S127" s="39"/>
      <c r="T127" s="108"/>
      <c r="U127" s="84"/>
    </row>
    <row r="128" spans="1:21" ht="12.75">
      <c r="A128" s="37" t="s">
        <v>801</v>
      </c>
      <c r="B128" s="38">
        <v>36.1</v>
      </c>
      <c r="C128" s="39"/>
      <c r="D128" s="39"/>
      <c r="E128" s="39">
        <v>5303</v>
      </c>
      <c r="F128" s="39">
        <v>2554</v>
      </c>
      <c r="G128" s="39">
        <v>1896</v>
      </c>
      <c r="H128" s="39">
        <v>914</v>
      </c>
      <c r="I128" s="39">
        <v>2396</v>
      </c>
      <c r="J128" s="39">
        <v>7245</v>
      </c>
      <c r="K128" s="39">
        <v>9975</v>
      </c>
      <c r="L128" s="39">
        <f>5099+253</f>
        <v>5352</v>
      </c>
      <c r="M128" s="39">
        <v>570</v>
      </c>
      <c r="N128" s="28">
        <v>186</v>
      </c>
      <c r="O128" s="28">
        <f t="shared" si="11"/>
        <v>202.9090909090909</v>
      </c>
      <c r="P128" s="39">
        <v>550</v>
      </c>
      <c r="Q128" s="22">
        <f t="shared" si="12"/>
        <v>-347.0909090909091</v>
      </c>
      <c r="R128" s="39">
        <v>200</v>
      </c>
      <c r="S128" s="39">
        <v>200</v>
      </c>
      <c r="T128" s="108">
        <f>(R128-P128)/P128</f>
        <v>-0.6363636363636364</v>
      </c>
      <c r="U128" s="84"/>
    </row>
    <row r="129" spans="1:21" ht="12.75">
      <c r="A129" s="37" t="s">
        <v>46</v>
      </c>
      <c r="B129" s="38">
        <v>36.1105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>
        <v>71</v>
      </c>
      <c r="N129" s="28"/>
      <c r="O129" s="28"/>
      <c r="P129" s="39"/>
      <c r="Q129" s="22">
        <f t="shared" si="12"/>
        <v>0</v>
      </c>
      <c r="R129" s="39"/>
      <c r="S129" s="39"/>
      <c r="T129" s="108"/>
      <c r="U129" s="84"/>
    </row>
    <row r="130" spans="1:21" ht="12.75">
      <c r="A130" s="37" t="s">
        <v>802</v>
      </c>
      <c r="B130" s="38">
        <v>36.111</v>
      </c>
      <c r="C130" s="39">
        <v>74962</v>
      </c>
      <c r="D130" s="39">
        <v>117155</v>
      </c>
      <c r="E130" s="39">
        <v>139453</v>
      </c>
      <c r="F130" s="39">
        <v>62703</v>
      </c>
      <c r="G130" s="39">
        <v>39939</v>
      </c>
      <c r="H130" s="39">
        <v>40953</v>
      </c>
      <c r="I130" s="39">
        <v>91435</v>
      </c>
      <c r="J130" s="28">
        <f>3901.21+151024</f>
        <v>154925.21</v>
      </c>
      <c r="K130" s="28">
        <v>131952</v>
      </c>
      <c r="L130" s="28">
        <v>81636</v>
      </c>
      <c r="M130" s="28">
        <v>27523</v>
      </c>
      <c r="N130" s="40">
        <v>4737</v>
      </c>
      <c r="O130" s="28">
        <f>(12/$N$2)*N130</f>
        <v>5167.636363636363</v>
      </c>
      <c r="P130" s="39">
        <v>26000</v>
      </c>
      <c r="Q130" s="22">
        <f t="shared" si="12"/>
        <v>-20832.363636363636</v>
      </c>
      <c r="R130" s="39">
        <v>5000</v>
      </c>
      <c r="S130" s="39">
        <v>5000</v>
      </c>
      <c r="T130" s="108">
        <f>(R130-P130)/P130</f>
        <v>-0.8076923076923077</v>
      </c>
      <c r="U130" s="84">
        <f>(S130-P130)/P130</f>
        <v>-0.8076923076923077</v>
      </c>
    </row>
    <row r="131" spans="1:21" ht="12.75" hidden="1">
      <c r="A131" s="37" t="s">
        <v>649</v>
      </c>
      <c r="B131" s="38">
        <v>36.1112</v>
      </c>
      <c r="C131" s="39"/>
      <c r="D131" s="39"/>
      <c r="E131" s="39"/>
      <c r="F131" s="39"/>
      <c r="G131" s="39"/>
      <c r="H131" s="39"/>
      <c r="I131" s="39"/>
      <c r="J131" s="39">
        <v>40456</v>
      </c>
      <c r="K131" s="39"/>
      <c r="L131" s="39"/>
      <c r="M131" s="39"/>
      <c r="N131" s="28"/>
      <c r="O131" s="28"/>
      <c r="P131" s="39"/>
      <c r="Q131" s="22">
        <f t="shared" si="12"/>
        <v>0</v>
      </c>
      <c r="R131" s="39"/>
      <c r="S131" s="39"/>
      <c r="T131" s="108" t="e">
        <f>(R131-P131)/P131</f>
        <v>#DIV/0!</v>
      </c>
      <c r="U131" s="84"/>
    </row>
    <row r="132" spans="1:22" ht="12.75">
      <c r="A132" s="37" t="s">
        <v>803</v>
      </c>
      <c r="B132" s="38">
        <v>36.112</v>
      </c>
      <c r="C132" s="39">
        <v>31067</v>
      </c>
      <c r="D132" s="39">
        <v>51768</v>
      </c>
      <c r="E132" s="39">
        <v>37533</v>
      </c>
      <c r="F132" s="39">
        <v>15750</v>
      </c>
      <c r="G132" s="39">
        <v>8521</v>
      </c>
      <c r="H132" s="39">
        <v>10389</v>
      </c>
      <c r="I132" s="39">
        <v>22963</v>
      </c>
      <c r="J132" s="28">
        <f>10193.45+55102</f>
        <v>65295.45</v>
      </c>
      <c r="K132" s="28">
        <v>60560</v>
      </c>
      <c r="L132" s="28">
        <v>12148</v>
      </c>
      <c r="M132" s="28">
        <v>0</v>
      </c>
      <c r="N132" s="28">
        <v>0</v>
      </c>
      <c r="O132" s="28">
        <f>(12/$N$2)*N132</f>
        <v>0</v>
      </c>
      <c r="P132" s="39"/>
      <c r="Q132" s="22">
        <f t="shared" si="12"/>
        <v>0</v>
      </c>
      <c r="R132" s="39"/>
      <c r="S132" s="39"/>
      <c r="T132" s="108"/>
      <c r="U132" s="84" t="e">
        <f>(S132-P132)/P132</f>
        <v>#DIV/0!</v>
      </c>
      <c r="V132" s="20" t="s">
        <v>63</v>
      </c>
    </row>
    <row r="133" spans="1:22" ht="12.75" hidden="1">
      <c r="A133" s="37" t="s">
        <v>104</v>
      </c>
      <c r="B133" s="38">
        <v>36.113</v>
      </c>
      <c r="C133" s="39">
        <v>15215</v>
      </c>
      <c r="D133" s="39">
        <v>22960</v>
      </c>
      <c r="E133" s="39">
        <v>17620</v>
      </c>
      <c r="F133" s="39">
        <v>6499</v>
      </c>
      <c r="G133" s="39">
        <v>2072</v>
      </c>
      <c r="H133" s="39">
        <v>1257</v>
      </c>
      <c r="I133" s="39"/>
      <c r="J133" s="39"/>
      <c r="K133" s="39"/>
      <c r="L133" s="39"/>
      <c r="M133" s="39"/>
      <c r="N133" s="40"/>
      <c r="O133" s="28"/>
      <c r="P133" s="39"/>
      <c r="Q133" s="22">
        <f t="shared" si="12"/>
        <v>0</v>
      </c>
      <c r="R133" s="39"/>
      <c r="S133" s="39"/>
      <c r="T133" s="108"/>
      <c r="U133" s="84" t="e">
        <f>(S133-P133)/P133</f>
        <v>#DIV/0!</v>
      </c>
      <c r="V133" s="20" t="s">
        <v>63</v>
      </c>
    </row>
    <row r="134" spans="1:21" ht="12.75" hidden="1">
      <c r="A134" s="37" t="s">
        <v>105</v>
      </c>
      <c r="B134" s="38">
        <v>36.114</v>
      </c>
      <c r="C134" s="39">
        <v>54</v>
      </c>
      <c r="D134" s="39">
        <v>102</v>
      </c>
      <c r="E134" s="39">
        <v>144</v>
      </c>
      <c r="F134" s="39">
        <v>143</v>
      </c>
      <c r="G134" s="39">
        <v>14</v>
      </c>
      <c r="H134" s="39"/>
      <c r="I134" s="39"/>
      <c r="J134" s="39"/>
      <c r="K134" s="39"/>
      <c r="L134" s="39"/>
      <c r="M134" s="39">
        <v>0.25</v>
      </c>
      <c r="N134" s="40"/>
      <c r="O134" s="28"/>
      <c r="P134" s="39"/>
      <c r="Q134" s="22">
        <f t="shared" si="12"/>
        <v>0</v>
      </c>
      <c r="R134" s="39"/>
      <c r="S134" s="39"/>
      <c r="T134" s="108" t="e">
        <f>(R134-P134)/P134</f>
        <v>#DIV/0!</v>
      </c>
      <c r="U134" s="84"/>
    </row>
    <row r="135" spans="1:21" ht="12.75" hidden="1">
      <c r="A135" s="37" t="s">
        <v>106</v>
      </c>
      <c r="B135" s="38">
        <v>37.111</v>
      </c>
      <c r="C135" s="39"/>
      <c r="D135" s="39">
        <v>4185</v>
      </c>
      <c r="E135" s="39">
        <v>3825</v>
      </c>
      <c r="F135" s="39">
        <v>3757</v>
      </c>
      <c r="G135" s="39">
        <v>3645</v>
      </c>
      <c r="H135" s="39"/>
      <c r="I135" s="39"/>
      <c r="J135" s="39"/>
      <c r="K135" s="39"/>
      <c r="L135" s="39"/>
      <c r="M135" s="39"/>
      <c r="N135" s="40"/>
      <c r="O135" s="28">
        <f>(12/$N$2)*N135</f>
        <v>0</v>
      </c>
      <c r="P135" s="39"/>
      <c r="Q135" s="22">
        <f t="shared" si="12"/>
        <v>0</v>
      </c>
      <c r="R135" s="39"/>
      <c r="S135" s="39"/>
      <c r="T135" s="108" t="e">
        <f>(R135-P135)/P135</f>
        <v>#DIV/0!</v>
      </c>
      <c r="U135" s="84"/>
    </row>
    <row r="136" spans="1:21" ht="12.75">
      <c r="A136" s="37" t="s">
        <v>804</v>
      </c>
      <c r="B136" s="38">
        <v>37.112</v>
      </c>
      <c r="C136" s="39">
        <v>200</v>
      </c>
      <c r="D136" s="39">
        <v>1565</v>
      </c>
      <c r="E136" s="39">
        <v>215</v>
      </c>
      <c r="F136" s="39">
        <v>56</v>
      </c>
      <c r="G136" s="39">
        <v>1049</v>
      </c>
      <c r="H136" s="39">
        <v>927</v>
      </c>
      <c r="I136" s="39">
        <v>55</v>
      </c>
      <c r="J136" s="39">
        <v>989</v>
      </c>
      <c r="K136" s="39">
        <v>-1088</v>
      </c>
      <c r="L136" s="39">
        <v>367</v>
      </c>
      <c r="M136" s="39">
        <v>-386</v>
      </c>
      <c r="N136" s="28">
        <v>550</v>
      </c>
      <c r="O136" s="28">
        <v>350</v>
      </c>
      <c r="P136" s="39"/>
      <c r="Q136" s="22">
        <f t="shared" si="12"/>
        <v>350</v>
      </c>
      <c r="R136" s="39">
        <v>350</v>
      </c>
      <c r="S136" s="39">
        <v>350</v>
      </c>
      <c r="T136" s="108"/>
      <c r="U136" s="84" t="e">
        <f>(S136-P136)/P136</f>
        <v>#DIV/0!</v>
      </c>
    </row>
    <row r="137" spans="1:21" ht="12.75">
      <c r="A137" s="37" t="s">
        <v>805</v>
      </c>
      <c r="B137" s="38">
        <v>37.113</v>
      </c>
      <c r="C137" s="39">
        <v>1000</v>
      </c>
      <c r="D137" s="39">
        <v>5307</v>
      </c>
      <c r="E137" s="39"/>
      <c r="F137" s="39">
        <v>720</v>
      </c>
      <c r="G137" s="39">
        <v>1290</v>
      </c>
      <c r="H137" s="39"/>
      <c r="I137" s="39"/>
      <c r="J137" s="39">
        <v>502</v>
      </c>
      <c r="K137" s="39">
        <v>1050</v>
      </c>
      <c r="L137" s="39">
        <v>1702</v>
      </c>
      <c r="M137" s="39">
        <v>2578</v>
      </c>
      <c r="N137" s="28">
        <v>113</v>
      </c>
      <c r="O137" s="28">
        <v>140</v>
      </c>
      <c r="P137" s="39"/>
      <c r="Q137" s="22">
        <f t="shared" si="12"/>
        <v>140</v>
      </c>
      <c r="R137" s="39">
        <v>140</v>
      </c>
      <c r="S137" s="39">
        <v>140</v>
      </c>
      <c r="T137" s="108"/>
      <c r="U137" s="84"/>
    </row>
    <row r="138" spans="1:21" ht="12.75">
      <c r="A138" s="37" t="s">
        <v>806</v>
      </c>
      <c r="B138" s="38">
        <v>37.114</v>
      </c>
      <c r="C138" s="39">
        <v>536</v>
      </c>
      <c r="E138" s="39">
        <v>948</v>
      </c>
      <c r="F138" s="39"/>
      <c r="G138" s="39"/>
      <c r="H138" s="39">
        <v>700</v>
      </c>
      <c r="I138" s="39"/>
      <c r="J138" s="39">
        <v>303</v>
      </c>
      <c r="K138" s="39">
        <v>2052</v>
      </c>
      <c r="L138" s="39">
        <v>750</v>
      </c>
      <c r="M138" s="39"/>
      <c r="N138" s="28">
        <v>525</v>
      </c>
      <c r="O138" s="28">
        <v>525</v>
      </c>
      <c r="P138" s="39"/>
      <c r="Q138" s="22">
        <f t="shared" si="12"/>
        <v>525</v>
      </c>
      <c r="R138" s="39">
        <v>525</v>
      </c>
      <c r="S138" s="39">
        <v>525</v>
      </c>
      <c r="T138" s="108"/>
      <c r="U138" s="84"/>
    </row>
    <row r="139" spans="1:21" ht="12.75">
      <c r="A139" s="20" t="s">
        <v>44</v>
      </c>
      <c r="B139" s="38">
        <v>37.1141</v>
      </c>
      <c r="C139" s="39"/>
      <c r="E139" s="39"/>
      <c r="F139" s="39"/>
      <c r="G139" s="39"/>
      <c r="H139" s="39"/>
      <c r="I139" s="39"/>
      <c r="J139" s="39"/>
      <c r="K139" s="39"/>
      <c r="L139" s="39"/>
      <c r="M139" s="39">
        <v>400</v>
      </c>
      <c r="N139" s="28"/>
      <c r="O139" s="28"/>
      <c r="P139" s="39"/>
      <c r="Q139" s="22">
        <f t="shared" si="12"/>
        <v>0</v>
      </c>
      <c r="R139" s="39"/>
      <c r="S139" s="39"/>
      <c r="T139" s="108"/>
      <c r="U139" s="84"/>
    </row>
    <row r="140" spans="1:21" ht="12.75">
      <c r="A140" s="37" t="s">
        <v>714</v>
      </c>
      <c r="B140" s="38">
        <v>38.1</v>
      </c>
      <c r="C140" s="39"/>
      <c r="E140" s="39"/>
      <c r="F140" s="39"/>
      <c r="G140" s="39"/>
      <c r="H140" s="39"/>
      <c r="I140" s="39"/>
      <c r="J140" s="39"/>
      <c r="K140" s="39">
        <v>900</v>
      </c>
      <c r="L140" s="39"/>
      <c r="M140" s="39"/>
      <c r="N140" s="28"/>
      <c r="O140" s="28"/>
      <c r="P140" s="39"/>
      <c r="Q140" s="22">
        <f t="shared" si="12"/>
        <v>0</v>
      </c>
      <c r="R140" s="39"/>
      <c r="S140" s="39"/>
      <c r="T140" s="108"/>
      <c r="U140" s="84"/>
    </row>
    <row r="141" spans="1:21" ht="12.75" hidden="1">
      <c r="A141" s="37" t="s">
        <v>107</v>
      </c>
      <c r="B141" s="38">
        <v>38.2</v>
      </c>
      <c r="C141" s="39">
        <v>5816</v>
      </c>
      <c r="D141" s="39">
        <v>13322</v>
      </c>
      <c r="E141" s="39">
        <v>5149</v>
      </c>
      <c r="F141" s="39">
        <v>18471</v>
      </c>
      <c r="G141" s="39">
        <v>3718</v>
      </c>
      <c r="H141" s="39">
        <v>617</v>
      </c>
      <c r="I141" s="39"/>
      <c r="J141" s="39"/>
      <c r="K141" s="39"/>
      <c r="L141" s="39"/>
      <c r="M141" s="39"/>
      <c r="N141" s="40"/>
      <c r="O141" s="28"/>
      <c r="P141" s="39"/>
      <c r="Q141" s="22">
        <f t="shared" si="12"/>
        <v>0</v>
      </c>
      <c r="R141" s="39"/>
      <c r="S141" s="39"/>
      <c r="T141" s="108"/>
      <c r="U141" s="84"/>
    </row>
    <row r="142" spans="1:21" ht="12.75">
      <c r="A142" s="37" t="s">
        <v>807</v>
      </c>
      <c r="B142" s="38">
        <v>38.3</v>
      </c>
      <c r="C142" s="39"/>
      <c r="D142" s="39">
        <v>20188</v>
      </c>
      <c r="E142" s="39">
        <v>6483</v>
      </c>
      <c r="F142" s="39">
        <v>1755</v>
      </c>
      <c r="G142" s="39">
        <v>13638</v>
      </c>
      <c r="H142" s="39">
        <v>3869</v>
      </c>
      <c r="I142" s="39"/>
      <c r="J142" s="39">
        <v>14097</v>
      </c>
      <c r="K142" s="39">
        <v>1800</v>
      </c>
      <c r="L142" s="39">
        <v>42616</v>
      </c>
      <c r="M142" s="39">
        <v>0</v>
      </c>
      <c r="N142" s="28">
        <v>0</v>
      </c>
      <c r="O142" s="28"/>
      <c r="P142" s="39"/>
      <c r="Q142" s="22">
        <f t="shared" si="12"/>
        <v>0</v>
      </c>
      <c r="R142" s="39"/>
      <c r="S142" s="39"/>
      <c r="T142" s="108"/>
      <c r="U142" s="84"/>
    </row>
    <row r="143" spans="1:21" ht="12.75" hidden="1">
      <c r="A143" s="37" t="s">
        <v>560</v>
      </c>
      <c r="B143" s="38">
        <v>38.3002</v>
      </c>
      <c r="C143" s="39"/>
      <c r="D143" s="39"/>
      <c r="E143" s="39"/>
      <c r="F143" s="39"/>
      <c r="G143" s="39"/>
      <c r="H143" s="39"/>
      <c r="I143" s="39">
        <v>108482</v>
      </c>
      <c r="J143" s="39"/>
      <c r="K143" s="39"/>
      <c r="L143" s="39"/>
      <c r="M143" s="39"/>
      <c r="N143" s="22"/>
      <c r="O143" s="28"/>
      <c r="P143" s="39"/>
      <c r="Q143" s="22">
        <f t="shared" si="12"/>
        <v>0</v>
      </c>
      <c r="R143" s="39"/>
      <c r="S143" s="39"/>
      <c r="T143" s="108"/>
      <c r="U143" s="84"/>
    </row>
    <row r="144" spans="1:21" ht="12.75">
      <c r="A144" s="37" t="s">
        <v>808</v>
      </c>
      <c r="B144" s="38">
        <v>38.9</v>
      </c>
      <c r="C144" s="39">
        <v>1709</v>
      </c>
      <c r="D144" s="39">
        <v>4622</v>
      </c>
      <c r="E144" s="39">
        <v>6975</v>
      </c>
      <c r="F144" s="39">
        <v>1462</v>
      </c>
      <c r="G144" s="39">
        <v>3581</v>
      </c>
      <c r="H144" s="39">
        <v>1433</v>
      </c>
      <c r="I144" s="39">
        <v>7407</v>
      </c>
      <c r="J144" s="39">
        <v>8265</v>
      </c>
      <c r="K144" s="39">
        <v>13989</v>
      </c>
      <c r="L144" s="39">
        <v>27108</v>
      </c>
      <c r="M144" s="39">
        <v>16038</v>
      </c>
      <c r="N144" s="28">
        <v>23599</v>
      </c>
      <c r="O144" s="28">
        <f>(12/$N$2)*N144</f>
        <v>25744.363636363636</v>
      </c>
      <c r="P144" s="39">
        <v>15000</v>
      </c>
      <c r="Q144" s="22">
        <f t="shared" si="12"/>
        <v>10744.363636363636</v>
      </c>
      <c r="R144" s="39">
        <v>20000</v>
      </c>
      <c r="S144" s="39">
        <v>20000</v>
      </c>
      <c r="T144" s="108">
        <f>(R144-P144)/P144</f>
        <v>0.3333333333333333</v>
      </c>
      <c r="U144" s="84">
        <f>(S144-P144)/P144</f>
        <v>0.3333333333333333</v>
      </c>
    </row>
    <row r="145" spans="1:21" ht="12.75">
      <c r="A145" s="37" t="s">
        <v>809</v>
      </c>
      <c r="B145" s="38">
        <v>38.902</v>
      </c>
      <c r="C145" s="39">
        <v>14069</v>
      </c>
      <c r="D145" s="39">
        <v>12162</v>
      </c>
      <c r="E145" s="39">
        <v>12311</v>
      </c>
      <c r="F145" s="39">
        <v>8779</v>
      </c>
      <c r="G145" s="39">
        <v>8470</v>
      </c>
      <c r="H145" s="39">
        <v>9532</v>
      </c>
      <c r="I145" s="39">
        <v>9293</v>
      </c>
      <c r="J145" s="39">
        <v>7687</v>
      </c>
      <c r="K145" s="39">
        <v>9064</v>
      </c>
      <c r="L145" s="39">
        <v>8803</v>
      </c>
      <c r="M145" s="39">
        <v>11854</v>
      </c>
      <c r="N145" s="28">
        <v>900</v>
      </c>
      <c r="O145" s="28">
        <f>(12/$N$2)*N145</f>
        <v>981.8181818181818</v>
      </c>
      <c r="P145" s="51"/>
      <c r="Q145" s="22">
        <f t="shared" si="12"/>
        <v>981.8181818181818</v>
      </c>
      <c r="R145" s="39">
        <v>1200</v>
      </c>
      <c r="S145" s="39">
        <v>1200</v>
      </c>
      <c r="T145" s="108"/>
      <c r="U145" s="84" t="e">
        <f>(S145-P145)/P145</f>
        <v>#DIV/0!</v>
      </c>
    </row>
    <row r="146" spans="1:21" ht="12.75">
      <c r="A146" s="37" t="s">
        <v>550</v>
      </c>
      <c r="B146" s="38">
        <v>38.9022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28">
        <v>1125</v>
      </c>
      <c r="O146" s="28">
        <v>1200</v>
      </c>
      <c r="P146" s="51"/>
      <c r="Q146" s="22">
        <f t="shared" si="12"/>
        <v>1200</v>
      </c>
      <c r="R146" s="39">
        <v>1200</v>
      </c>
      <c r="S146" s="39">
        <v>1200</v>
      </c>
      <c r="T146" s="108"/>
      <c r="U146" s="84"/>
    </row>
    <row r="147" spans="1:21" ht="12.75">
      <c r="A147" s="37" t="s">
        <v>993</v>
      </c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28"/>
      <c r="O147" s="28"/>
      <c r="P147" s="51"/>
      <c r="Q147" s="22"/>
      <c r="R147" s="39">
        <v>1000</v>
      </c>
      <c r="S147" s="39">
        <v>1000</v>
      </c>
      <c r="T147" s="108"/>
      <c r="U147" s="84"/>
    </row>
    <row r="148" spans="1:22" ht="12.75">
      <c r="A148" s="37" t="s">
        <v>383</v>
      </c>
      <c r="B148" s="38">
        <v>38.903</v>
      </c>
      <c r="C148" s="39"/>
      <c r="D148" s="39"/>
      <c r="E148" s="39"/>
      <c r="F148" s="39">
        <v>1200</v>
      </c>
      <c r="G148" s="39">
        <v>68481</v>
      </c>
      <c r="H148" s="39">
        <f>29333+5333</f>
        <v>34666</v>
      </c>
      <c r="I148" s="39">
        <f>32891+2883</f>
        <v>35774</v>
      </c>
      <c r="J148" s="39">
        <f>32891+2883</f>
        <v>35774</v>
      </c>
      <c r="K148" s="39">
        <v>39728</v>
      </c>
      <c r="L148" s="39">
        <f>32321+3591</f>
        <v>35912</v>
      </c>
      <c r="M148" s="39">
        <v>30941</v>
      </c>
      <c r="N148" s="28">
        <v>0</v>
      </c>
      <c r="O148" s="28"/>
      <c r="P148" s="39"/>
      <c r="Q148" s="22">
        <f t="shared" si="12"/>
        <v>0</v>
      </c>
      <c r="R148" s="39"/>
      <c r="S148" s="39"/>
      <c r="T148" s="108"/>
      <c r="U148" s="84" t="e">
        <f>(S148-P148)/P148</f>
        <v>#DIV/0!</v>
      </c>
      <c r="V148" s="20" t="s">
        <v>863</v>
      </c>
    </row>
    <row r="149" spans="1:21" ht="12.75" hidden="1">
      <c r="A149" s="37" t="s">
        <v>544</v>
      </c>
      <c r="B149" s="38">
        <v>38.904</v>
      </c>
      <c r="C149" s="39">
        <v>981</v>
      </c>
      <c r="D149" s="39">
        <v>1615</v>
      </c>
      <c r="E149" s="39">
        <v>1254</v>
      </c>
      <c r="F149" s="39">
        <v>1157</v>
      </c>
      <c r="G149" s="39"/>
      <c r="H149" s="39"/>
      <c r="I149" s="39"/>
      <c r="J149" s="39"/>
      <c r="K149" s="39"/>
      <c r="L149" s="39"/>
      <c r="M149" s="39"/>
      <c r="N149" s="40"/>
      <c r="O149" s="28"/>
      <c r="P149" s="39"/>
      <c r="Q149" s="22">
        <f t="shared" si="12"/>
        <v>0</v>
      </c>
      <c r="R149" s="39"/>
      <c r="S149" s="39"/>
      <c r="T149" s="108"/>
      <c r="U149" s="84"/>
    </row>
    <row r="150" spans="1:21" ht="12.75" hidden="1">
      <c r="A150" s="37" t="s">
        <v>111</v>
      </c>
      <c r="B150" s="38">
        <v>38.905</v>
      </c>
      <c r="C150" s="39"/>
      <c r="D150" s="39"/>
      <c r="E150" s="39">
        <v>448</v>
      </c>
      <c r="F150" s="39">
        <v>777</v>
      </c>
      <c r="G150" s="39">
        <v>1291</v>
      </c>
      <c r="H150" s="39">
        <v>228</v>
      </c>
      <c r="I150" s="39"/>
      <c r="J150" s="39"/>
      <c r="K150" s="39"/>
      <c r="L150" s="39"/>
      <c r="M150" s="39"/>
      <c r="N150" s="40"/>
      <c r="O150" s="28"/>
      <c r="P150" s="39"/>
      <c r="Q150" s="22">
        <f t="shared" si="12"/>
        <v>0</v>
      </c>
      <c r="R150" s="39"/>
      <c r="S150" s="39"/>
      <c r="T150" s="108"/>
      <c r="U150" s="84"/>
    </row>
    <row r="151" spans="1:22" ht="12.75">
      <c r="A151" s="37" t="s">
        <v>810</v>
      </c>
      <c r="B151" s="38">
        <v>38.9051</v>
      </c>
      <c r="C151" s="39"/>
      <c r="D151" s="39"/>
      <c r="E151" s="39">
        <v>51000</v>
      </c>
      <c r="F151" s="39">
        <v>51000</v>
      </c>
      <c r="G151" s="39">
        <v>51000</v>
      </c>
      <c r="H151" s="39">
        <v>51000</v>
      </c>
      <c r="I151" s="39">
        <f>38250+12500</f>
        <v>50750</v>
      </c>
      <c r="J151" s="39">
        <v>52060</v>
      </c>
      <c r="K151" s="39">
        <v>52169</v>
      </c>
      <c r="L151" s="39">
        <v>38250</v>
      </c>
      <c r="M151" s="39">
        <v>12750</v>
      </c>
      <c r="N151" s="28">
        <v>0</v>
      </c>
      <c r="O151" s="28"/>
      <c r="P151" s="39">
        <v>0</v>
      </c>
      <c r="Q151" s="22">
        <f t="shared" si="12"/>
        <v>0</v>
      </c>
      <c r="R151" s="39"/>
      <c r="S151" s="39"/>
      <c r="T151" s="108"/>
      <c r="U151" s="84" t="e">
        <f>(S151-P151)/P151</f>
        <v>#DIV/0!</v>
      </c>
      <c r="V151" s="20" t="s">
        <v>62</v>
      </c>
    </row>
    <row r="152" spans="1:21" ht="12.75" hidden="1">
      <c r="A152" s="37" t="s">
        <v>109</v>
      </c>
      <c r="B152" s="38">
        <v>38.9052</v>
      </c>
      <c r="C152" s="39">
        <v>2385</v>
      </c>
      <c r="D152" s="39">
        <v>3763</v>
      </c>
      <c r="E152" s="39">
        <v>2968</v>
      </c>
      <c r="F152" s="39">
        <v>1597</v>
      </c>
      <c r="G152" s="39">
        <v>3059</v>
      </c>
      <c r="H152" s="39">
        <v>939</v>
      </c>
      <c r="I152" s="39"/>
      <c r="J152" s="39"/>
      <c r="K152" s="39"/>
      <c r="L152" s="39"/>
      <c r="M152" s="39"/>
      <c r="N152" s="40"/>
      <c r="O152" s="28"/>
      <c r="P152" s="39"/>
      <c r="Q152" s="22">
        <f t="shared" si="12"/>
        <v>0</v>
      </c>
      <c r="R152" s="39"/>
      <c r="S152" s="39"/>
      <c r="T152" s="108" t="e">
        <f>(R152-P152)/P152</f>
        <v>#DIV/0!</v>
      </c>
      <c r="U152" s="84"/>
    </row>
    <row r="153" spans="1:21" ht="12.75">
      <c r="A153" s="37" t="s">
        <v>811</v>
      </c>
      <c r="B153" s="38">
        <v>38.9053</v>
      </c>
      <c r="C153" s="39">
        <v>4689</v>
      </c>
      <c r="D153" s="39">
        <v>7748</v>
      </c>
      <c r="E153" s="39">
        <v>8309</v>
      </c>
      <c r="F153" s="39">
        <v>7400</v>
      </c>
      <c r="G153" s="39">
        <v>9971</v>
      </c>
      <c r="H153" s="39">
        <f>11582+1358+1325</f>
        <v>14265</v>
      </c>
      <c r="I153" s="39">
        <f>18744+1887</f>
        <v>20631</v>
      </c>
      <c r="J153" s="39">
        <v>29877</v>
      </c>
      <c r="K153" s="39">
        <v>28326</v>
      </c>
      <c r="L153" s="39">
        <v>33785</v>
      </c>
      <c r="M153" s="39">
        <v>21679</v>
      </c>
      <c r="N153" s="28">
        <v>19718</v>
      </c>
      <c r="O153" s="28">
        <f>(12/$N$2)*N153</f>
        <v>21510.545454545452</v>
      </c>
      <c r="P153" s="39">
        <v>20000</v>
      </c>
      <c r="Q153" s="22">
        <f t="shared" si="12"/>
        <v>1510.5454545454522</v>
      </c>
      <c r="R153" s="39">
        <v>20000</v>
      </c>
      <c r="S153" s="39">
        <v>20000</v>
      </c>
      <c r="T153" s="108">
        <f>(R153-P153)/P153</f>
        <v>0</v>
      </c>
      <c r="U153" s="84">
        <f>(S153-P153)/P153</f>
        <v>0</v>
      </c>
    </row>
    <row r="154" spans="1:21" ht="12.75" hidden="1">
      <c r="A154" s="37" t="s">
        <v>300</v>
      </c>
      <c r="B154" s="38">
        <v>38.9054</v>
      </c>
      <c r="C154" s="39">
        <v>50</v>
      </c>
      <c r="D154" s="39">
        <v>137</v>
      </c>
      <c r="E154" s="39">
        <v>132</v>
      </c>
      <c r="F154" s="39">
        <v>200</v>
      </c>
      <c r="G154" s="39">
        <v>63</v>
      </c>
      <c r="H154" s="39"/>
      <c r="I154" s="39"/>
      <c r="J154" s="39"/>
      <c r="K154" s="39"/>
      <c r="L154" s="39"/>
      <c r="M154" s="39"/>
      <c r="N154" s="40"/>
      <c r="O154" s="28"/>
      <c r="P154" s="39"/>
      <c r="Q154" s="22">
        <f t="shared" si="12"/>
        <v>0</v>
      </c>
      <c r="R154" s="39"/>
      <c r="S154" s="39"/>
      <c r="T154" s="108" t="e">
        <f>(R154-P154)/P154</f>
        <v>#DIV/0!</v>
      </c>
      <c r="U154" s="84"/>
    </row>
    <row r="155" spans="1:21" ht="12.75">
      <c r="A155" s="37" t="s">
        <v>740</v>
      </c>
      <c r="B155" s="38">
        <v>38.9045</v>
      </c>
      <c r="C155" s="39"/>
      <c r="D155" s="39"/>
      <c r="E155" s="39"/>
      <c r="F155" s="39"/>
      <c r="G155" s="39"/>
      <c r="H155" s="39"/>
      <c r="I155" s="39"/>
      <c r="J155" s="39"/>
      <c r="K155" s="39">
        <v>3300</v>
      </c>
      <c r="L155" s="39">
        <v>3000</v>
      </c>
      <c r="M155" s="39"/>
      <c r="N155" s="40">
        <v>0</v>
      </c>
      <c r="O155" s="28"/>
      <c r="P155" s="39">
        <v>3300</v>
      </c>
      <c r="Q155" s="22">
        <f t="shared" si="12"/>
        <v>-3300</v>
      </c>
      <c r="R155" s="39"/>
      <c r="S155" s="39"/>
      <c r="T155" s="108">
        <f>(R155-P155)/P155</f>
        <v>-1</v>
      </c>
      <c r="U155" s="84"/>
    </row>
    <row r="156" spans="1:21" ht="12.75">
      <c r="A156" s="20" t="s">
        <v>61</v>
      </c>
      <c r="B156" s="135">
        <v>38.9051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>
        <v>402</v>
      </c>
      <c r="M156" s="39"/>
      <c r="N156" s="40">
        <v>0</v>
      </c>
      <c r="O156" s="28"/>
      <c r="P156" s="39"/>
      <c r="Q156" s="22">
        <f t="shared" si="12"/>
        <v>0</v>
      </c>
      <c r="R156" s="39"/>
      <c r="S156" s="39"/>
      <c r="T156" s="108"/>
      <c r="U156" s="84"/>
    </row>
    <row r="157" spans="1:21" ht="12.75">
      <c r="A157" s="37" t="s">
        <v>825</v>
      </c>
      <c r="B157" s="38">
        <v>38.9055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>
        <v>5786</v>
      </c>
      <c r="M157" s="39">
        <v>4327</v>
      </c>
      <c r="N157" s="40">
        <v>3818</v>
      </c>
      <c r="O157" s="28">
        <v>4300</v>
      </c>
      <c r="P157" s="39">
        <v>5000</v>
      </c>
      <c r="Q157" s="22">
        <f t="shared" si="12"/>
        <v>-700</v>
      </c>
      <c r="R157" s="39">
        <v>4300</v>
      </c>
      <c r="S157" s="39">
        <v>4300</v>
      </c>
      <c r="T157" s="108">
        <f>(R157-P157)/P157</f>
        <v>-0.14</v>
      </c>
      <c r="U157" s="84"/>
    </row>
    <row r="158" spans="1:22" ht="12.75">
      <c r="A158" s="37" t="s">
        <v>812</v>
      </c>
      <c r="B158" s="38">
        <v>38.9056</v>
      </c>
      <c r="C158" s="39">
        <v>703</v>
      </c>
      <c r="D158" s="39">
        <v>325</v>
      </c>
      <c r="E158" s="39">
        <v>350</v>
      </c>
      <c r="F158" s="39">
        <v>199</v>
      </c>
      <c r="G158" s="39">
        <v>440</v>
      </c>
      <c r="H158" s="39">
        <f>175+171</f>
        <v>346</v>
      </c>
      <c r="I158" s="39">
        <v>214</v>
      </c>
      <c r="J158" s="39">
        <v>371</v>
      </c>
      <c r="K158" s="39">
        <v>868</v>
      </c>
      <c r="L158" s="39"/>
      <c r="M158" s="39"/>
      <c r="N158" s="40">
        <v>0</v>
      </c>
      <c r="O158" s="28"/>
      <c r="P158" s="39"/>
      <c r="Q158" s="22">
        <f t="shared" si="12"/>
        <v>0</v>
      </c>
      <c r="R158" s="39"/>
      <c r="S158" s="39"/>
      <c r="T158" s="108"/>
      <c r="U158" s="84" t="e">
        <f>(S158-P158)/P158</f>
        <v>#DIV/0!</v>
      </c>
      <c r="V158" s="20" t="s">
        <v>34</v>
      </c>
    </row>
    <row r="159" spans="1:21" ht="12.75">
      <c r="A159" s="37" t="s">
        <v>813</v>
      </c>
      <c r="B159" s="38">
        <v>38.9057</v>
      </c>
      <c r="C159" s="39">
        <v>282</v>
      </c>
      <c r="D159" s="39">
        <v>325</v>
      </c>
      <c r="E159" s="39">
        <v>163</v>
      </c>
      <c r="F159" s="39">
        <v>199</v>
      </c>
      <c r="G159" s="39">
        <v>440</v>
      </c>
      <c r="H159" s="39">
        <v>133</v>
      </c>
      <c r="I159" s="39">
        <v>214</v>
      </c>
      <c r="J159" s="39">
        <v>520</v>
      </c>
      <c r="K159" s="39">
        <v>442</v>
      </c>
      <c r="L159" s="39">
        <v>615</v>
      </c>
      <c r="M159" s="39">
        <v>519</v>
      </c>
      <c r="N159" s="28">
        <v>242</v>
      </c>
      <c r="O159" s="28">
        <v>242</v>
      </c>
      <c r="P159" s="39">
        <v>150</v>
      </c>
      <c r="Q159" s="22">
        <f t="shared" si="12"/>
        <v>92</v>
      </c>
      <c r="R159" s="39">
        <v>242</v>
      </c>
      <c r="S159" s="39">
        <v>242</v>
      </c>
      <c r="T159" s="108">
        <f>(R159-P159)/P159</f>
        <v>0.6133333333333333</v>
      </c>
      <c r="U159" s="84">
        <f>(S159-P159)/P159</f>
        <v>0.6133333333333333</v>
      </c>
    </row>
    <row r="160" spans="1:21" ht="12.75">
      <c r="A160" s="37" t="s">
        <v>814</v>
      </c>
      <c r="B160" s="38">
        <v>38.9058</v>
      </c>
      <c r="C160" s="39">
        <v>1026</v>
      </c>
      <c r="D160" s="39">
        <v>1007</v>
      </c>
      <c r="E160" s="39">
        <v>1585</v>
      </c>
      <c r="F160" s="39">
        <v>685</v>
      </c>
      <c r="G160" s="39">
        <v>1840</v>
      </c>
      <c r="H160" s="39">
        <v>716</v>
      </c>
      <c r="I160" s="39">
        <v>965</v>
      </c>
      <c r="J160" s="39">
        <v>851</v>
      </c>
      <c r="K160" s="39">
        <v>2246</v>
      </c>
      <c r="L160" s="39">
        <v>922</v>
      </c>
      <c r="M160" s="39">
        <v>1181</v>
      </c>
      <c r="N160" s="40">
        <v>594</v>
      </c>
      <c r="O160" s="28">
        <v>600</v>
      </c>
      <c r="P160" s="39">
        <v>750</v>
      </c>
      <c r="Q160" s="22">
        <f t="shared" si="12"/>
        <v>-150</v>
      </c>
      <c r="R160" s="39">
        <v>600</v>
      </c>
      <c r="S160" s="39">
        <v>600</v>
      </c>
      <c r="T160" s="108">
        <f>(R160-P160)/P160</f>
        <v>-0.2</v>
      </c>
      <c r="U160" s="84">
        <f>(S160-P160)/P160</f>
        <v>-0.2</v>
      </c>
    </row>
    <row r="161" spans="1:21" ht="12.75">
      <c r="A161" s="37" t="s">
        <v>815</v>
      </c>
      <c r="B161" s="38">
        <v>38.9059</v>
      </c>
      <c r="C161" s="39">
        <v>576</v>
      </c>
      <c r="D161" s="39">
        <v>565</v>
      </c>
      <c r="E161" s="39">
        <v>891</v>
      </c>
      <c r="F161" s="39">
        <v>385</v>
      </c>
      <c r="G161" s="39">
        <v>1034</v>
      </c>
      <c r="H161" s="39">
        <v>402</v>
      </c>
      <c r="I161" s="39">
        <v>542</v>
      </c>
      <c r="J161" s="39">
        <v>1121</v>
      </c>
      <c r="K161" s="39">
        <v>1427</v>
      </c>
      <c r="L161" s="39">
        <v>516</v>
      </c>
      <c r="M161" s="39">
        <v>1006</v>
      </c>
      <c r="N161" s="20">
        <v>332</v>
      </c>
      <c r="O161" s="28">
        <v>350</v>
      </c>
      <c r="P161" s="39">
        <v>750</v>
      </c>
      <c r="Q161" s="22">
        <f t="shared" si="12"/>
        <v>-400</v>
      </c>
      <c r="R161" s="39">
        <v>350</v>
      </c>
      <c r="S161" s="39">
        <v>350</v>
      </c>
      <c r="T161" s="108">
        <f>(R161-P161)/P161</f>
        <v>-0.5333333333333333</v>
      </c>
      <c r="U161" s="84">
        <f>(S161-P161)/P161</f>
        <v>-0.5333333333333333</v>
      </c>
    </row>
    <row r="162" spans="1:21" ht="12.75" hidden="1">
      <c r="A162" s="37" t="s">
        <v>619</v>
      </c>
      <c r="B162" s="38">
        <v>38.906</v>
      </c>
      <c r="C162" s="39">
        <v>669</v>
      </c>
      <c r="D162" s="39">
        <v>485</v>
      </c>
      <c r="E162" s="39">
        <v>187</v>
      </c>
      <c r="F162" s="39">
        <v>42</v>
      </c>
      <c r="G162" s="39">
        <v>46</v>
      </c>
      <c r="H162" s="39"/>
      <c r="I162" s="39"/>
      <c r="J162" s="39"/>
      <c r="K162" s="39"/>
      <c r="L162" s="39"/>
      <c r="M162" s="39"/>
      <c r="N162" s="40"/>
      <c r="O162" s="28"/>
      <c r="P162" s="39"/>
      <c r="Q162" s="22">
        <f t="shared" si="12"/>
        <v>0</v>
      </c>
      <c r="R162" s="39"/>
      <c r="S162" s="39"/>
      <c r="T162" s="108" t="e">
        <f>(R162-P162)/P162</f>
        <v>#DIV/0!</v>
      </c>
      <c r="U162" s="84"/>
    </row>
    <row r="163" spans="1:22" ht="12.75">
      <c r="A163" s="37" t="s">
        <v>880</v>
      </c>
      <c r="B163" s="38">
        <v>38.9061</v>
      </c>
      <c r="C163" s="39"/>
      <c r="D163" s="39"/>
      <c r="E163" s="39"/>
      <c r="F163" s="39"/>
      <c r="G163" s="39"/>
      <c r="H163" s="39"/>
      <c r="I163" s="39"/>
      <c r="J163" s="39"/>
      <c r="K163" s="39">
        <v>20187</v>
      </c>
      <c r="L163" s="39">
        <v>36275</v>
      </c>
      <c r="M163" s="39">
        <v>19523</v>
      </c>
      <c r="N163" s="40">
        <v>59033</v>
      </c>
      <c r="O163" s="28">
        <v>60000</v>
      </c>
      <c r="P163" s="39">
        <v>20000</v>
      </c>
      <c r="Q163" s="22">
        <f t="shared" si="12"/>
        <v>40000</v>
      </c>
      <c r="R163" s="51"/>
      <c r="S163" s="51"/>
      <c r="T163" s="108">
        <f>(R163-P163)/P163</f>
        <v>-1</v>
      </c>
      <c r="U163" s="84"/>
      <c r="V163" s="42" t="s">
        <v>971</v>
      </c>
    </row>
    <row r="164" spans="1:21" ht="12.75">
      <c r="A164" s="37" t="s">
        <v>826</v>
      </c>
      <c r="B164" s="38">
        <v>38.9062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>
        <v>8656</v>
      </c>
      <c r="M164" s="39"/>
      <c r="N164" s="40"/>
      <c r="O164" s="28"/>
      <c r="P164" s="39"/>
      <c r="Q164" s="22">
        <f t="shared" si="12"/>
        <v>0</v>
      </c>
      <c r="R164" s="39"/>
      <c r="S164" s="39"/>
      <c r="T164" s="108"/>
      <c r="U164" s="84"/>
    </row>
    <row r="165" spans="1:22" ht="12.75">
      <c r="A165" s="41" t="s">
        <v>519</v>
      </c>
      <c r="B165" s="38">
        <v>38.908</v>
      </c>
      <c r="C165" s="39"/>
      <c r="D165" s="39"/>
      <c r="E165" s="39"/>
      <c r="F165" s="39"/>
      <c r="G165" s="39"/>
      <c r="H165" s="39">
        <v>9778</v>
      </c>
      <c r="I165" s="39">
        <f>4238+353</f>
        <v>4591</v>
      </c>
      <c r="J165" s="39">
        <v>4238</v>
      </c>
      <c r="K165" s="39">
        <v>5064</v>
      </c>
      <c r="L165" s="39">
        <f>5577+402</f>
        <v>5979</v>
      </c>
      <c r="M165" s="39">
        <v>2592</v>
      </c>
      <c r="N165" s="28">
        <v>0</v>
      </c>
      <c r="O165" s="28"/>
      <c r="P165" s="39">
        <v>0</v>
      </c>
      <c r="Q165" s="22">
        <f t="shared" si="12"/>
        <v>0</v>
      </c>
      <c r="R165" s="39"/>
      <c r="S165" s="39"/>
      <c r="T165" s="108"/>
      <c r="U165" s="84"/>
      <c r="V165" s="20" t="s">
        <v>62</v>
      </c>
    </row>
    <row r="166" spans="1:21" ht="12.75" hidden="1">
      <c r="A166" s="41" t="s">
        <v>650</v>
      </c>
      <c r="B166" s="38">
        <v>38.9091</v>
      </c>
      <c r="C166" s="39"/>
      <c r="D166" s="39"/>
      <c r="E166" s="39"/>
      <c r="F166" s="39"/>
      <c r="G166" s="39"/>
      <c r="H166" s="39"/>
      <c r="I166" s="39"/>
      <c r="J166" s="39">
        <v>117699</v>
      </c>
      <c r="K166" s="39"/>
      <c r="L166" s="39"/>
      <c r="M166" s="39"/>
      <c r="N166" s="28"/>
      <c r="O166" s="28"/>
      <c r="P166" s="39"/>
      <c r="Q166" s="22">
        <f t="shared" si="12"/>
        <v>0</v>
      </c>
      <c r="R166" s="39"/>
      <c r="S166" s="39"/>
      <c r="T166" s="108"/>
      <c r="U166" s="84"/>
    </row>
    <row r="167" spans="1:21" ht="12.75">
      <c r="A167" s="41" t="s">
        <v>651</v>
      </c>
      <c r="B167" s="38">
        <v>38.9092</v>
      </c>
      <c r="C167" s="39"/>
      <c r="D167" s="39"/>
      <c r="E167" s="39"/>
      <c r="F167" s="39"/>
      <c r="G167" s="39"/>
      <c r="H167" s="39"/>
      <c r="I167" s="39"/>
      <c r="J167" s="39">
        <v>77872</v>
      </c>
      <c r="K167" s="39">
        <v>20487</v>
      </c>
      <c r="L167" s="39"/>
      <c r="M167" s="39"/>
      <c r="N167" s="28"/>
      <c r="O167" s="28"/>
      <c r="P167" s="39"/>
      <c r="Q167" s="22">
        <f t="shared" si="12"/>
        <v>0</v>
      </c>
      <c r="R167" s="39"/>
      <c r="S167" s="39"/>
      <c r="T167" s="108"/>
      <c r="U167" s="84"/>
    </row>
    <row r="168" spans="1:21" ht="12.75">
      <c r="A168" s="41" t="s">
        <v>827</v>
      </c>
      <c r="B168" s="38">
        <v>38.9093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>
        <v>95201</v>
      </c>
      <c r="M168" s="39">
        <v>88872</v>
      </c>
      <c r="N168" s="28"/>
      <c r="O168" s="28"/>
      <c r="P168" s="39"/>
      <c r="Q168" s="22">
        <f t="shared" si="12"/>
        <v>0</v>
      </c>
      <c r="R168" s="39"/>
      <c r="S168" s="39"/>
      <c r="T168" s="108"/>
      <c r="U168" s="84"/>
    </row>
    <row r="169" spans="1:21" ht="12.75">
      <c r="A169" s="41" t="s">
        <v>473</v>
      </c>
      <c r="B169" s="38">
        <v>39.12</v>
      </c>
      <c r="C169" s="39"/>
      <c r="D169" s="39"/>
      <c r="E169" s="39"/>
      <c r="F169" s="39">
        <v>-5760</v>
      </c>
      <c r="G169" s="39"/>
      <c r="H169" s="39"/>
      <c r="I169" s="39"/>
      <c r="J169" s="39">
        <v>17</v>
      </c>
      <c r="K169" s="39">
        <v>300</v>
      </c>
      <c r="L169" s="39"/>
      <c r="M169" s="39">
        <v>128</v>
      </c>
      <c r="O169" s="28"/>
      <c r="P169" s="39"/>
      <c r="Q169" s="22">
        <f t="shared" si="12"/>
        <v>0</v>
      </c>
      <c r="R169" s="39"/>
      <c r="S169" s="39"/>
      <c r="T169" s="108"/>
      <c r="U169" s="84"/>
    </row>
    <row r="170" spans="1:21" ht="11.25" customHeight="1">
      <c r="A170" s="37" t="s">
        <v>506</v>
      </c>
      <c r="B170" s="38">
        <v>39.21</v>
      </c>
      <c r="C170" s="39"/>
      <c r="D170" s="39"/>
      <c r="E170" s="39"/>
      <c r="F170" s="39"/>
      <c r="G170" s="39">
        <v>14289</v>
      </c>
      <c r="H170" s="39">
        <v>2775</v>
      </c>
      <c r="I170" s="39"/>
      <c r="J170" s="39"/>
      <c r="K170" s="39">
        <v>1000</v>
      </c>
      <c r="L170" s="39"/>
      <c r="M170" s="39"/>
      <c r="N170" s="39"/>
      <c r="O170" s="28"/>
      <c r="P170" s="39"/>
      <c r="Q170" s="22">
        <f t="shared" si="12"/>
        <v>0</v>
      </c>
      <c r="R170" s="39"/>
      <c r="S170" s="39"/>
      <c r="T170" s="108"/>
      <c r="U170" s="84"/>
    </row>
    <row r="171" spans="1:21" ht="12.75" hidden="1">
      <c r="A171" s="37" t="s">
        <v>474</v>
      </c>
      <c r="B171" s="38">
        <v>39.35</v>
      </c>
      <c r="C171" s="39"/>
      <c r="D171" s="39"/>
      <c r="E171" s="39"/>
      <c r="F171" s="39">
        <v>84306</v>
      </c>
      <c r="G171" s="39"/>
      <c r="H171" s="39"/>
      <c r="I171" s="39"/>
      <c r="J171" s="39"/>
      <c r="K171" s="39"/>
      <c r="L171" s="39"/>
      <c r="M171" s="39"/>
      <c r="N171" s="39"/>
      <c r="O171" s="28"/>
      <c r="P171" s="39"/>
      <c r="Q171" s="22">
        <f t="shared" si="12"/>
        <v>0</v>
      </c>
      <c r="R171" s="39"/>
      <c r="S171" s="39"/>
      <c r="T171" s="108" t="e">
        <f>(R171-P171)/P171</f>
        <v>#DIV/0!</v>
      </c>
      <c r="U171" s="84"/>
    </row>
    <row r="172" spans="1:21" ht="12.75">
      <c r="A172" s="37" t="s">
        <v>816</v>
      </c>
      <c r="B172" s="38">
        <v>61.1</v>
      </c>
      <c r="C172" s="39"/>
      <c r="D172" s="39"/>
      <c r="E172" s="39"/>
      <c r="F172" s="20">
        <v>-5000</v>
      </c>
      <c r="I172" s="20">
        <v>12</v>
      </c>
      <c r="J172" s="20">
        <v>3</v>
      </c>
      <c r="O172" s="28"/>
      <c r="P172" s="39"/>
      <c r="Q172" s="22">
        <f t="shared" si="12"/>
        <v>0</v>
      </c>
      <c r="R172" s="39"/>
      <c r="S172" s="39"/>
      <c r="T172" s="108"/>
      <c r="U172" s="84"/>
    </row>
    <row r="173" spans="1:21" ht="12.75" hidden="1">
      <c r="A173" s="37" t="s">
        <v>301</v>
      </c>
      <c r="B173" s="38">
        <v>61.21</v>
      </c>
      <c r="C173" s="39"/>
      <c r="D173" s="39"/>
      <c r="E173" s="39">
        <v>5814</v>
      </c>
      <c r="F173" s="39"/>
      <c r="G173" s="39"/>
      <c r="H173" s="39"/>
      <c r="I173" s="39"/>
      <c r="J173" s="39"/>
      <c r="K173" s="39"/>
      <c r="L173" s="39"/>
      <c r="M173" s="39"/>
      <c r="O173" s="28"/>
      <c r="P173" s="39"/>
      <c r="Q173" s="22">
        <f t="shared" si="12"/>
        <v>0</v>
      </c>
      <c r="R173" s="39"/>
      <c r="S173" s="39"/>
      <c r="T173" s="84"/>
      <c r="U173" s="84"/>
    </row>
    <row r="174" spans="1:21" ht="12.75" hidden="1">
      <c r="A174" s="41" t="s">
        <v>108</v>
      </c>
      <c r="B174" s="38"/>
      <c r="C174" s="22">
        <v>25392</v>
      </c>
      <c r="D174" s="22">
        <v>180123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8"/>
      <c r="P174" s="39"/>
      <c r="Q174" s="22">
        <f t="shared" si="12"/>
        <v>0</v>
      </c>
      <c r="R174" s="39"/>
      <c r="S174" s="39"/>
      <c r="T174" s="84"/>
      <c r="U174" s="84"/>
    </row>
    <row r="175" spans="1:22" ht="12.75">
      <c r="A175" s="37"/>
      <c r="B175" s="38"/>
      <c r="C175" s="39"/>
      <c r="D175" s="39"/>
      <c r="E175" s="39"/>
      <c r="F175" s="39"/>
      <c r="G175" s="39">
        <v>223418</v>
      </c>
      <c r="H175" s="20">
        <v>1356</v>
      </c>
      <c r="I175" s="20">
        <v>141864</v>
      </c>
      <c r="J175" s="20">
        <f>-9217752+9432954</f>
        <v>215202</v>
      </c>
      <c r="K175" s="22"/>
      <c r="L175" s="22"/>
      <c r="M175" s="22"/>
      <c r="N175" s="39"/>
      <c r="O175" s="28"/>
      <c r="P175" s="39"/>
      <c r="Q175" s="22">
        <f t="shared" si="12"/>
        <v>0</v>
      </c>
      <c r="R175" s="39"/>
      <c r="S175" s="39"/>
      <c r="T175" s="84"/>
      <c r="U175" s="84"/>
      <c r="V175" s="20" t="s">
        <v>828</v>
      </c>
    </row>
    <row r="176" spans="1:21" ht="12.75">
      <c r="A176" s="42" t="s">
        <v>91</v>
      </c>
      <c r="B176" s="42"/>
      <c r="C176" s="43">
        <f>SUM(C5:C174)</f>
        <v>5836900</v>
      </c>
      <c r="D176" s="43">
        <f>SUM(D5:D174)</f>
        <v>6556682</v>
      </c>
      <c r="E176" s="43">
        <f>SUM(E5:E174)</f>
        <v>7043683</v>
      </c>
      <c r="F176" s="43">
        <f>SUM(F5:F174)</f>
        <v>7412617</v>
      </c>
      <c r="G176" s="43">
        <f>SUM(G5:G175)</f>
        <v>7656783</v>
      </c>
      <c r="H176" s="43">
        <v>8020050</v>
      </c>
      <c r="I176" s="43">
        <v>8417220</v>
      </c>
      <c r="J176" s="43">
        <v>9432954.280000001</v>
      </c>
      <c r="K176" s="43">
        <v>9535056.08</v>
      </c>
      <c r="L176" s="43">
        <v>9134528</v>
      </c>
      <c r="M176" s="43">
        <v>8852418</v>
      </c>
      <c r="N176" s="43">
        <f aca="true" t="shared" si="13" ref="N176:S176">SUM(N5:N175)</f>
        <v>8030794</v>
      </c>
      <c r="O176" s="43">
        <f t="shared" si="13"/>
        <v>8625170.636363637</v>
      </c>
      <c r="P176" s="43">
        <f t="shared" si="13"/>
        <v>8577840</v>
      </c>
      <c r="Q176" s="43">
        <f t="shared" si="13"/>
        <v>47230.63636363614</v>
      </c>
      <c r="R176" s="43">
        <f t="shared" si="13"/>
        <v>8570649</v>
      </c>
      <c r="S176" s="43">
        <f t="shared" si="13"/>
        <v>8570649</v>
      </c>
      <c r="T176" s="77">
        <f>(P176-N176)/N176</f>
        <v>0.06811854469184492</v>
      </c>
      <c r="U176" s="77">
        <f>(S176-P176)/P176</f>
        <v>-0.0008383229344450351</v>
      </c>
    </row>
    <row r="177" spans="1:21" ht="15" customHeight="1">
      <c r="A177" s="20" t="s">
        <v>603</v>
      </c>
      <c r="C177" s="52"/>
      <c r="D177" s="52">
        <f>D176-C176</f>
        <v>719782</v>
      </c>
      <c r="E177" s="52">
        <f>E176-D176</f>
        <v>487001</v>
      </c>
      <c r="F177" s="52">
        <f>F176-E176</f>
        <v>368934</v>
      </c>
      <c r="G177" s="52">
        <f>G176-F176</f>
        <v>244166</v>
      </c>
      <c r="H177" s="52">
        <f>H176-G176</f>
        <v>363267</v>
      </c>
      <c r="I177" s="52">
        <v>397170</v>
      </c>
      <c r="J177" s="52">
        <v>1015734.28</v>
      </c>
      <c r="K177" s="52">
        <v>102101.79999999888</v>
      </c>
      <c r="L177" s="52">
        <f>L176-K176</f>
        <v>-400528.0800000001</v>
      </c>
      <c r="M177" s="52">
        <f>M176-L176</f>
        <v>-282110</v>
      </c>
      <c r="N177" s="52"/>
      <c r="O177" s="52"/>
      <c r="R177" s="28"/>
      <c r="S177" s="28"/>
      <c r="T177" s="88"/>
      <c r="U177" s="88"/>
    </row>
    <row r="178" spans="3:21" ht="17.25" customHeight="1">
      <c r="C178" s="28"/>
      <c r="D178" s="97">
        <f aca="true" t="shared" si="14" ref="D178:M178">D177/C176</f>
        <v>0.12331580119584026</v>
      </c>
      <c r="E178" s="97">
        <f t="shared" si="14"/>
        <v>0.07427552533430781</v>
      </c>
      <c r="F178" s="97">
        <f t="shared" si="14"/>
        <v>0.05237799600010392</v>
      </c>
      <c r="G178" s="97">
        <f t="shared" si="14"/>
        <v>0.03293924399439496</v>
      </c>
      <c r="H178" s="97">
        <f t="shared" si="14"/>
        <v>0.04744381550319501</v>
      </c>
      <c r="I178" s="97">
        <f t="shared" si="14"/>
        <v>0.04952213514878336</v>
      </c>
      <c r="J178" s="97">
        <f t="shared" si="14"/>
        <v>0.1206733672162543</v>
      </c>
      <c r="K178" s="97">
        <f t="shared" si="14"/>
        <v>0.010823947298936645</v>
      </c>
      <c r="L178" s="97">
        <f t="shared" si="14"/>
        <v>-0.04200584418586871</v>
      </c>
      <c r="M178" s="97">
        <f t="shared" si="14"/>
        <v>-0.030883916497929615</v>
      </c>
      <c r="N178" s="97"/>
      <c r="P178" s="28"/>
      <c r="Q178" s="28"/>
      <c r="R178" s="28"/>
      <c r="T178" s="88"/>
      <c r="U178" s="88"/>
    </row>
    <row r="179" ht="15.75">
      <c r="A179" s="94" t="s">
        <v>577</v>
      </c>
    </row>
    <row r="180" spans="10:15" ht="12.75">
      <c r="J180" s="78"/>
      <c r="K180" s="78"/>
      <c r="L180" s="78"/>
      <c r="M180" s="78"/>
      <c r="O180" s="97"/>
    </row>
    <row r="181" spans="20:21" ht="12.75">
      <c r="T181" s="28"/>
      <c r="U181" s="28"/>
    </row>
    <row r="185" spans="11:14" ht="12.75">
      <c r="K185" s="37"/>
      <c r="L185" s="37"/>
      <c r="M185" s="37"/>
      <c r="N185" s="37"/>
    </row>
    <row r="186" spans="11:14" ht="12.75">
      <c r="K186" s="37"/>
      <c r="L186" s="37"/>
      <c r="M186" s="37"/>
      <c r="N186" s="37"/>
    </row>
    <row r="187" spans="11:14" ht="12.75">
      <c r="K187" s="37"/>
      <c r="L187" s="37"/>
      <c r="M187" s="37"/>
      <c r="N187" s="37"/>
    </row>
    <row r="188" spans="11:14" ht="12.75">
      <c r="K188" s="37"/>
      <c r="L188" s="37"/>
      <c r="M188" s="37"/>
      <c r="N188" s="37"/>
    </row>
    <row r="189" spans="11:14" ht="12.75">
      <c r="K189" s="37"/>
      <c r="L189" s="37"/>
      <c r="M189" s="37"/>
      <c r="N189" s="37"/>
    </row>
    <row r="190" spans="11:14" ht="12.75">
      <c r="K190" s="37"/>
      <c r="L190" s="37"/>
      <c r="M190" s="37"/>
      <c r="N190" s="37"/>
    </row>
    <row r="191" spans="11:14" ht="12.75">
      <c r="K191" s="37"/>
      <c r="L191" s="37"/>
      <c r="M191" s="37"/>
      <c r="N191" s="37"/>
    </row>
    <row r="192" spans="11:14" ht="12.75">
      <c r="K192" s="37"/>
      <c r="L192" s="37"/>
      <c r="M192" s="37"/>
      <c r="N192" s="37"/>
    </row>
    <row r="193" spans="11:14" ht="12.75">
      <c r="K193" s="37"/>
      <c r="L193" s="37"/>
      <c r="M193" s="37"/>
      <c r="N193" s="37"/>
    </row>
    <row r="194" spans="11:14" ht="12.75">
      <c r="K194" s="37"/>
      <c r="L194" s="37"/>
      <c r="M194" s="37"/>
      <c r="N194" s="37"/>
    </row>
    <row r="195" spans="11:14" ht="12.75">
      <c r="K195" s="37"/>
      <c r="L195" s="37"/>
      <c r="M195" s="37"/>
      <c r="N195" s="37"/>
    </row>
    <row r="196" spans="11:14" ht="12.75">
      <c r="K196" s="37"/>
      <c r="L196" s="37"/>
      <c r="M196" s="37"/>
      <c r="N196" s="37"/>
    </row>
    <row r="197" spans="11:14" ht="12.75">
      <c r="K197" s="37"/>
      <c r="L197" s="37"/>
      <c r="M197" s="37"/>
      <c r="N197" s="37"/>
    </row>
    <row r="198" spans="11:14" ht="12.75">
      <c r="K198" s="37"/>
      <c r="L198" s="37"/>
      <c r="M198" s="37"/>
      <c r="N198" s="37"/>
    </row>
    <row r="199" spans="11:14" ht="12.75">
      <c r="K199" s="37"/>
      <c r="L199" s="37"/>
      <c r="M199" s="37"/>
      <c r="N199" s="37"/>
    </row>
    <row r="200" spans="11:14" ht="12.75">
      <c r="K200" s="37"/>
      <c r="L200" s="37"/>
      <c r="M200" s="37"/>
      <c r="N200" s="37"/>
    </row>
    <row r="201" spans="11:14" ht="12.75">
      <c r="K201" s="37"/>
      <c r="L201" s="37"/>
      <c r="M201" s="37"/>
      <c r="N201" s="37"/>
    </row>
    <row r="202" spans="11:14" ht="12.75">
      <c r="K202" s="37"/>
      <c r="L202" s="37"/>
      <c r="M202" s="37"/>
      <c r="N202" s="37"/>
    </row>
    <row r="203" spans="11:14" ht="12.75">
      <c r="K203" s="37"/>
      <c r="L203" s="37"/>
      <c r="M203" s="37"/>
      <c r="N203" s="37"/>
    </row>
    <row r="204" spans="11:14" ht="12.75">
      <c r="K204" s="37"/>
      <c r="L204" s="37"/>
      <c r="M204" s="37"/>
      <c r="N204" s="37"/>
    </row>
    <row r="205" spans="11:14" ht="12.75">
      <c r="K205" s="37"/>
      <c r="L205" s="37"/>
      <c r="M205" s="37"/>
      <c r="N205" s="37"/>
    </row>
    <row r="206" spans="11:14" ht="12.75">
      <c r="K206" s="37"/>
      <c r="L206" s="37"/>
      <c r="M206" s="37"/>
      <c r="N206" s="37"/>
    </row>
    <row r="207" spans="11:14" ht="12.75">
      <c r="K207" s="37"/>
      <c r="L207" s="37"/>
      <c r="M207" s="37"/>
      <c r="N207" s="37"/>
    </row>
    <row r="208" spans="11:14" ht="12.75">
      <c r="K208" s="37"/>
      <c r="L208" s="37"/>
      <c r="M208" s="37"/>
      <c r="N208" s="37"/>
    </row>
    <row r="209" spans="11:14" ht="12.75">
      <c r="K209" s="37"/>
      <c r="L209" s="37"/>
      <c r="M209" s="37"/>
      <c r="N209" s="37"/>
    </row>
    <row r="210" spans="11:14" ht="12.75">
      <c r="K210" s="37"/>
      <c r="L210" s="37"/>
      <c r="M210" s="37"/>
      <c r="N210" s="37"/>
    </row>
    <row r="211" spans="11:14" ht="12.75">
      <c r="K211" s="37"/>
      <c r="L211" s="37"/>
      <c r="M211" s="37"/>
      <c r="N211" s="37"/>
    </row>
    <row r="212" spans="11:14" ht="12.75">
      <c r="K212" s="37"/>
      <c r="L212" s="37"/>
      <c r="M212" s="37"/>
      <c r="N212" s="37"/>
    </row>
    <row r="213" spans="11:14" ht="12.75">
      <c r="K213" s="37"/>
      <c r="L213" s="37"/>
      <c r="M213" s="37"/>
      <c r="N213" s="37"/>
    </row>
    <row r="214" spans="11:14" ht="12.75">
      <c r="K214" s="37"/>
      <c r="L214" s="37"/>
      <c r="M214" s="37"/>
      <c r="N214" s="37"/>
    </row>
    <row r="215" spans="11:14" ht="12.75">
      <c r="K215" s="37"/>
      <c r="L215" s="37"/>
      <c r="M215" s="37"/>
      <c r="N215" s="37"/>
    </row>
    <row r="216" spans="11:14" ht="12.75">
      <c r="K216" s="37"/>
      <c r="L216" s="37"/>
      <c r="M216" s="37"/>
      <c r="N216" s="37"/>
    </row>
    <row r="217" spans="11:14" ht="12.75">
      <c r="K217" s="37"/>
      <c r="L217" s="37"/>
      <c r="M217" s="37"/>
      <c r="N217" s="37"/>
    </row>
    <row r="218" spans="11:14" ht="12.75">
      <c r="K218" s="37"/>
      <c r="L218" s="37"/>
      <c r="M218" s="37"/>
      <c r="N218" s="37"/>
    </row>
    <row r="219" spans="11:14" ht="12.75">
      <c r="K219" s="37"/>
      <c r="L219" s="37"/>
      <c r="M219" s="37"/>
      <c r="N219" s="37"/>
    </row>
    <row r="220" spans="11:14" ht="12.75">
      <c r="K220" s="37"/>
      <c r="L220" s="37"/>
      <c r="M220" s="37"/>
      <c r="N220" s="37"/>
    </row>
    <row r="221" spans="11:14" ht="12.75">
      <c r="K221" s="37"/>
      <c r="L221" s="37"/>
      <c r="M221" s="37"/>
      <c r="N221" s="37"/>
    </row>
    <row r="222" spans="11:14" ht="12.75">
      <c r="K222" s="37"/>
      <c r="L222" s="37"/>
      <c r="M222" s="37"/>
      <c r="N222" s="37"/>
    </row>
    <row r="223" spans="11:14" ht="12.75">
      <c r="K223" s="37"/>
      <c r="L223" s="37"/>
      <c r="M223" s="37"/>
      <c r="N223" s="37"/>
    </row>
    <row r="224" spans="11:14" ht="12.75">
      <c r="K224" s="37"/>
      <c r="L224" s="37"/>
      <c r="M224" s="37"/>
      <c r="N224" s="37"/>
    </row>
    <row r="225" spans="11:14" ht="12.75">
      <c r="K225" s="37"/>
      <c r="L225" s="37"/>
      <c r="M225" s="37"/>
      <c r="N225" s="37"/>
    </row>
    <row r="226" spans="11:14" ht="12.75">
      <c r="K226" s="37"/>
      <c r="L226" s="37"/>
      <c r="M226" s="37"/>
      <c r="N226" s="37"/>
    </row>
    <row r="227" spans="11:14" ht="12.75">
      <c r="K227" s="37"/>
      <c r="L227" s="37"/>
      <c r="M227" s="37"/>
      <c r="N227" s="37"/>
    </row>
    <row r="228" spans="11:14" ht="12.75">
      <c r="K228" s="37"/>
      <c r="L228" s="37"/>
      <c r="M228" s="37"/>
      <c r="N228" s="37"/>
    </row>
    <row r="229" spans="11:14" ht="12.75">
      <c r="K229" s="37"/>
      <c r="L229" s="37"/>
      <c r="M229" s="37"/>
      <c r="N229" s="37"/>
    </row>
    <row r="230" spans="11:14" ht="12.75">
      <c r="K230" s="37"/>
      <c r="L230" s="37"/>
      <c r="M230" s="37"/>
      <c r="N230" s="37"/>
    </row>
    <row r="231" spans="11:14" ht="12.75">
      <c r="K231" s="37"/>
      <c r="L231" s="37"/>
      <c r="M231" s="37"/>
      <c r="N231" s="37"/>
    </row>
    <row r="232" spans="11:14" ht="12.75">
      <c r="K232" s="37"/>
      <c r="L232" s="37"/>
      <c r="M232" s="37"/>
      <c r="N232" s="37"/>
    </row>
    <row r="233" spans="11:14" ht="12.75">
      <c r="K233" s="37"/>
      <c r="L233" s="37"/>
      <c r="M233" s="37"/>
      <c r="N233" s="37"/>
    </row>
    <row r="234" spans="11:14" ht="12.75">
      <c r="K234" s="37"/>
      <c r="L234" s="37"/>
      <c r="M234" s="37"/>
      <c r="N234" s="37"/>
    </row>
    <row r="235" spans="11:14" ht="12.75">
      <c r="K235" s="37"/>
      <c r="L235" s="37"/>
      <c r="M235" s="37"/>
      <c r="N235" s="37"/>
    </row>
    <row r="236" spans="11:14" ht="12.75">
      <c r="K236" s="37"/>
      <c r="L236" s="37"/>
      <c r="M236" s="37"/>
      <c r="N236" s="37"/>
    </row>
    <row r="237" spans="11:14" ht="12.75">
      <c r="K237" s="37"/>
      <c r="L237" s="37"/>
      <c r="M237" s="37"/>
      <c r="N237" s="37"/>
    </row>
    <row r="238" spans="11:14" ht="12.75">
      <c r="K238" s="37"/>
      <c r="L238" s="37"/>
      <c r="M238" s="37"/>
      <c r="N238" s="37"/>
    </row>
    <row r="239" spans="11:14" ht="12.75">
      <c r="K239" s="37"/>
      <c r="L239" s="37"/>
      <c r="M239" s="37"/>
      <c r="N239" s="37"/>
    </row>
    <row r="240" spans="11:14" ht="12.75">
      <c r="K240" s="37"/>
      <c r="L240" s="37"/>
      <c r="M240" s="37"/>
      <c r="N240" s="37"/>
    </row>
    <row r="241" spans="11:14" ht="12.75">
      <c r="K241" s="37"/>
      <c r="L241" s="37"/>
      <c r="M241" s="37"/>
      <c r="N241" s="37"/>
    </row>
  </sheetData>
  <printOptions gridLines="1"/>
  <pageMargins left="0.25" right="0.25" top="1" bottom="0.55" header="0.5" footer="0.25"/>
  <pageSetup fitToHeight="3" horizontalDpi="300" verticalDpi="300" orientation="landscape" scale="85" r:id="rId4"/>
  <headerFooter alignWithMargins="0">
    <oddFooter>&amp;L&amp;F
&amp;A&amp;CPage &amp;P of &amp;N&amp;R&amp;D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V71"/>
  <sheetViews>
    <sheetView tabSelected="1" zoomScale="75" zoomScaleNormal="75" workbookViewId="0" topLeftCell="A3">
      <selection activeCell="H41" sqref="H41"/>
    </sheetView>
  </sheetViews>
  <sheetFormatPr defaultColWidth="9.140625" defaultRowHeight="12.75"/>
  <cols>
    <col min="1" max="1" width="34.00390625" style="0" customWidth="1"/>
    <col min="2" max="2" width="7.7109375" style="0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10" width="8.00390625" style="0" hidden="1" customWidth="1"/>
    <col min="11" max="13" width="8.00390625" style="0" customWidth="1"/>
    <col min="14" max="14" width="7.7109375" style="0" bestFit="1" customWidth="1"/>
    <col min="15" max="15" width="8.7109375" style="0" customWidth="1"/>
    <col min="16" max="16" width="11.140625" style="0" bestFit="1" customWidth="1"/>
    <col min="17" max="17" width="9.28125" style="0" bestFit="1" customWidth="1"/>
    <col min="18" max="18" width="10.851562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420</v>
      </c>
      <c r="N3" s="53">
        <v>7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s="20" t="s">
        <v>604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8800</v>
      </c>
      <c r="M7" s="2"/>
      <c r="N7" s="2">
        <v>4500</v>
      </c>
      <c r="O7" s="2">
        <f aca="true" t="shared" si="0" ref="O7:O17">+N7/$N$3*12</f>
        <v>7714.285714285715</v>
      </c>
      <c r="P7" s="2">
        <v>9000</v>
      </c>
      <c r="Q7" s="2"/>
      <c r="R7" s="2"/>
      <c r="S7" s="2"/>
      <c r="T7" s="75">
        <f>(S7-P7)/P7</f>
        <v>-1</v>
      </c>
      <c r="U7" t="s">
        <v>333</v>
      </c>
    </row>
    <row r="8" spans="1:20" ht="12.75">
      <c r="A8" t="s">
        <v>113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673</v>
      </c>
      <c r="M8" s="2"/>
      <c r="N8" s="2">
        <v>344</v>
      </c>
      <c r="O8" s="2">
        <f>0.0765*O7</f>
        <v>590.1428571428571</v>
      </c>
      <c r="P8" s="2"/>
      <c r="Q8" s="2"/>
      <c r="R8" s="2"/>
      <c r="S8" s="2"/>
      <c r="T8" s="75"/>
    </row>
    <row r="9" spans="2:20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5"/>
    </row>
    <row r="10" spans="1:21" ht="12.75">
      <c r="A10" s="30" t="s">
        <v>318</v>
      </c>
      <c r="B10" s="31">
        <v>52.1317</v>
      </c>
      <c r="C10" s="13"/>
      <c r="D10" s="13"/>
      <c r="E10" s="13"/>
      <c r="F10" s="19">
        <v>636</v>
      </c>
      <c r="G10" s="19">
        <v>242</v>
      </c>
      <c r="H10" s="19">
        <v>362</v>
      </c>
      <c r="I10" s="19">
        <v>473</v>
      </c>
      <c r="J10" s="19">
        <v>815</v>
      </c>
      <c r="K10" s="19">
        <v>378</v>
      </c>
      <c r="L10" s="19">
        <v>336</v>
      </c>
      <c r="M10" s="19">
        <v>229</v>
      </c>
      <c r="N10" s="19"/>
      <c r="O10" s="2">
        <f t="shared" si="0"/>
        <v>0</v>
      </c>
      <c r="P10" s="19"/>
      <c r="Q10" s="19"/>
      <c r="R10" s="19"/>
      <c r="S10" s="19"/>
      <c r="T10" s="75"/>
      <c r="U10" s="6"/>
    </row>
    <row r="11" spans="1:20" ht="12.75" hidden="1">
      <c r="A11" t="s">
        <v>115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  <c r="P11" s="2"/>
      <c r="Q11" s="2"/>
      <c r="R11" s="2"/>
      <c r="S11" s="2"/>
      <c r="T11" s="75"/>
    </row>
    <row r="12" spans="1:20" ht="12.75">
      <c r="A12" t="s">
        <v>116</v>
      </c>
      <c r="B12" s="4">
        <v>52.321</v>
      </c>
      <c r="C12" s="2">
        <v>1973</v>
      </c>
      <c r="D12" s="2">
        <v>1102</v>
      </c>
      <c r="E12" s="2">
        <v>1133</v>
      </c>
      <c r="F12" s="2">
        <v>1419</v>
      </c>
      <c r="G12" s="2">
        <v>977</v>
      </c>
      <c r="H12" s="2">
        <v>1319</v>
      </c>
      <c r="I12" s="2">
        <v>897</v>
      </c>
      <c r="J12" s="2">
        <v>1497</v>
      </c>
      <c r="K12" s="2">
        <v>1177</v>
      </c>
      <c r="L12" s="2">
        <v>823</v>
      </c>
      <c r="M12" s="2">
        <v>1400</v>
      </c>
      <c r="N12" s="2">
        <v>787</v>
      </c>
      <c r="O12" s="2">
        <f t="shared" si="0"/>
        <v>1349.142857142857</v>
      </c>
      <c r="P12" s="2">
        <v>1000</v>
      </c>
      <c r="Q12" s="2">
        <v>2000</v>
      </c>
      <c r="R12" s="2">
        <v>1500</v>
      </c>
      <c r="S12" s="2">
        <v>1500</v>
      </c>
      <c r="T12" s="75">
        <f>(S12-P12)/P12</f>
        <v>0.5</v>
      </c>
    </row>
    <row r="13" spans="1:21" ht="12.75">
      <c r="A13" t="s">
        <v>137</v>
      </c>
      <c r="B13" s="4">
        <v>52.33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1800</v>
      </c>
      <c r="N13" s="2">
        <v>683</v>
      </c>
      <c r="O13" s="2">
        <f>+N13/$N$3*12</f>
        <v>1170.857142857143</v>
      </c>
      <c r="P13" s="2">
        <v>1600</v>
      </c>
      <c r="Q13" s="2">
        <v>1600</v>
      </c>
      <c r="R13" s="2">
        <v>1600</v>
      </c>
      <c r="S13" s="2">
        <v>1600</v>
      </c>
      <c r="T13" s="75"/>
      <c r="U13" t="s">
        <v>463</v>
      </c>
    </row>
    <row r="14" spans="1:20" ht="12.75" hidden="1">
      <c r="A14" t="s">
        <v>128</v>
      </c>
      <c r="B14" s="4">
        <v>52.35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  <c r="P14" s="2"/>
      <c r="Q14" s="2"/>
      <c r="R14" s="2"/>
      <c r="S14" s="2"/>
      <c r="T14" s="75"/>
    </row>
    <row r="15" spans="1:20" ht="12.75">
      <c r="A15" t="s">
        <v>925</v>
      </c>
      <c r="B15" s="4">
        <v>52.362</v>
      </c>
      <c r="C15" s="2">
        <v>35444</v>
      </c>
      <c r="D15" s="2">
        <v>71653</v>
      </c>
      <c r="E15" s="2">
        <v>27335</v>
      </c>
      <c r="F15" s="2">
        <v>44446</v>
      </c>
      <c r="G15" s="2">
        <v>46700</v>
      </c>
      <c r="H15" s="2">
        <v>42355</v>
      </c>
      <c r="I15" s="2">
        <v>35699</v>
      </c>
      <c r="J15" s="2">
        <v>54270</v>
      </c>
      <c r="K15" s="2">
        <v>39479</v>
      </c>
      <c r="L15" s="2">
        <v>40351</v>
      </c>
      <c r="M15" s="2">
        <v>40000</v>
      </c>
      <c r="N15" s="2">
        <v>31000</v>
      </c>
      <c r="O15" s="2">
        <f t="shared" si="0"/>
        <v>53142.857142857145</v>
      </c>
      <c r="P15" s="2">
        <v>38000</v>
      </c>
      <c r="Q15" s="2">
        <v>43000</v>
      </c>
      <c r="R15" s="2">
        <v>43000</v>
      </c>
      <c r="S15" s="2">
        <v>43000</v>
      </c>
      <c r="T15" s="75">
        <f>(S15-P15)/P15</f>
        <v>0.13157894736842105</v>
      </c>
    </row>
    <row r="16" spans="1:20" ht="12.75">
      <c r="A16" t="s">
        <v>123</v>
      </c>
      <c r="B16" s="4">
        <v>53.171</v>
      </c>
      <c r="C16" s="2">
        <v>1666</v>
      </c>
      <c r="D16" s="2">
        <v>990</v>
      </c>
      <c r="E16" s="2">
        <v>786</v>
      </c>
      <c r="F16" s="2">
        <v>1058</v>
      </c>
      <c r="G16" s="2">
        <v>739</v>
      </c>
      <c r="H16" s="2">
        <v>820</v>
      </c>
      <c r="I16" s="2">
        <v>668</v>
      </c>
      <c r="J16" s="2">
        <v>1011</v>
      </c>
      <c r="K16" s="2">
        <v>749</v>
      </c>
      <c r="L16" s="2">
        <v>1540</v>
      </c>
      <c r="M16" s="2">
        <v>322</v>
      </c>
      <c r="N16" s="2">
        <v>292</v>
      </c>
      <c r="O16" s="2">
        <f t="shared" si="0"/>
        <v>500.57142857142856</v>
      </c>
      <c r="P16" s="2">
        <v>700</v>
      </c>
      <c r="Q16" s="2">
        <v>1000</v>
      </c>
      <c r="R16" s="2">
        <v>700</v>
      </c>
      <c r="S16" s="2">
        <v>700</v>
      </c>
      <c r="T16" s="75">
        <f>(S16-P16)/P16</f>
        <v>0</v>
      </c>
    </row>
    <row r="17" spans="1:21" ht="12.75">
      <c r="A17" s="30" t="s">
        <v>319</v>
      </c>
      <c r="B17" s="31">
        <v>53.179</v>
      </c>
      <c r="C17" s="29"/>
      <c r="D17" s="29"/>
      <c r="E17" s="29"/>
      <c r="F17" s="19">
        <v>83</v>
      </c>
      <c r="G17" s="19">
        <v>46</v>
      </c>
      <c r="H17" s="19">
        <v>70</v>
      </c>
      <c r="I17" s="19">
        <v>40</v>
      </c>
      <c r="J17" s="19"/>
      <c r="K17" s="19">
        <v>62</v>
      </c>
      <c r="L17" s="19"/>
      <c r="M17" s="19"/>
      <c r="N17" s="19"/>
      <c r="O17" s="19">
        <f t="shared" si="0"/>
        <v>0</v>
      </c>
      <c r="P17" s="19"/>
      <c r="Q17" s="19"/>
      <c r="R17" s="19"/>
      <c r="S17" s="19"/>
      <c r="T17" s="75" t="e">
        <f>(S17-P17)/P17</f>
        <v>#DIV/0!</v>
      </c>
      <c r="U17" s="6"/>
    </row>
    <row r="18" spans="2:20" ht="12.7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"/>
      <c r="Q18" s="5"/>
      <c r="R18" s="5"/>
      <c r="S18" s="2"/>
      <c r="T18" s="48"/>
    </row>
    <row r="19" spans="2:20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8"/>
    </row>
    <row r="20" spans="1:22" ht="12.75">
      <c r="A20" s="6" t="s">
        <v>91</v>
      </c>
      <c r="B20" s="6"/>
      <c r="C20" s="7">
        <f>SUM(C7:C16)</f>
        <v>39186</v>
      </c>
      <c r="D20" s="8">
        <f>SUM(D7:D16)</f>
        <v>81764</v>
      </c>
      <c r="E20" s="8">
        <f>SUM(E7:E19)</f>
        <v>29469</v>
      </c>
      <c r="F20" s="8">
        <f>SUM(F7:F19)</f>
        <v>56110</v>
      </c>
      <c r="G20" s="8">
        <f>SUM(G7:G19)</f>
        <v>48758</v>
      </c>
      <c r="H20" s="8">
        <f>SUM(H7:H19)</f>
        <v>52494</v>
      </c>
      <c r="I20" s="8">
        <f>SUM(I7:I19)</f>
        <v>37901</v>
      </c>
      <c r="J20" s="8">
        <v>67927</v>
      </c>
      <c r="K20" s="8">
        <f aca="true" t="shared" si="1" ref="K20:S20">SUM(K7:K17)</f>
        <v>42577</v>
      </c>
      <c r="L20" s="8">
        <v>52522</v>
      </c>
      <c r="M20" s="8">
        <v>43751</v>
      </c>
      <c r="N20" s="8">
        <f t="shared" si="1"/>
        <v>37606</v>
      </c>
      <c r="O20" s="8">
        <f t="shared" si="1"/>
        <v>64467.857142857145</v>
      </c>
      <c r="P20" s="8">
        <f t="shared" si="1"/>
        <v>50300</v>
      </c>
      <c r="Q20" s="8">
        <f t="shared" si="1"/>
        <v>47600</v>
      </c>
      <c r="R20" s="8">
        <f t="shared" si="1"/>
        <v>46800</v>
      </c>
      <c r="S20" s="8">
        <f t="shared" si="1"/>
        <v>46800</v>
      </c>
      <c r="T20" s="49">
        <f>(S20-P20)/P20</f>
        <v>-0.06958250497017893</v>
      </c>
      <c r="V20" t="s">
        <v>601</v>
      </c>
    </row>
    <row r="21" ht="12.75">
      <c r="T21" s="48"/>
    </row>
    <row r="22" spans="16:20" ht="12.75">
      <c r="P22" s="20" t="s">
        <v>445</v>
      </c>
      <c r="Q22" s="20"/>
      <c r="R22" s="52">
        <f>Q20-R20</f>
        <v>800</v>
      </c>
      <c r="T22" s="48"/>
    </row>
    <row r="23" spans="16:20" ht="12.75">
      <c r="P23" s="20" t="s">
        <v>668</v>
      </c>
      <c r="Q23" s="20"/>
      <c r="R23" s="52">
        <f>P20-R20</f>
        <v>3500</v>
      </c>
      <c r="T23" s="48"/>
    </row>
    <row r="24" spans="1:20" ht="12.75">
      <c r="A24" s="6"/>
      <c r="P24" s="20" t="s">
        <v>397</v>
      </c>
      <c r="Q24" s="20"/>
      <c r="R24" s="52">
        <f>R20-S20</f>
        <v>0</v>
      </c>
      <c r="T24" s="48"/>
    </row>
    <row r="25" ht="12.75">
      <c r="T25" s="48"/>
    </row>
    <row r="26" spans="1:20" ht="12.75">
      <c r="A26" s="14" t="s">
        <v>945</v>
      </c>
      <c r="T26" s="48"/>
    </row>
    <row r="27" spans="1:20" ht="12.75">
      <c r="A27" t="s">
        <v>926</v>
      </c>
      <c r="T27" s="48"/>
    </row>
    <row r="28" ht="12.75">
      <c r="A28" s="6"/>
    </row>
    <row r="29" spans="1:22" ht="12.75">
      <c r="A29" s="6"/>
      <c r="O29" s="2"/>
      <c r="P29" s="2"/>
      <c r="Q29" s="2"/>
      <c r="R29" s="2"/>
      <c r="S29" s="2"/>
      <c r="T29" s="2"/>
      <c r="U29" s="2"/>
      <c r="V29" s="2"/>
    </row>
    <row r="30" spans="15:22" ht="12.75">
      <c r="O30" s="2"/>
      <c r="P30" s="2"/>
      <c r="Q30" s="2"/>
      <c r="R30" s="2"/>
      <c r="S30" s="2"/>
      <c r="T30" s="2"/>
      <c r="U30" s="2"/>
      <c r="V30" s="2"/>
    </row>
    <row r="31" spans="15:22" ht="12.75">
      <c r="O31" s="2"/>
      <c r="P31" s="2"/>
      <c r="Q31" s="2"/>
      <c r="R31" s="2"/>
      <c r="S31" s="2"/>
      <c r="T31" s="2"/>
      <c r="U31" s="2"/>
      <c r="V31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  <row r="71" ht="12.75">
      <c r="T71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U15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27.140625" style="30" bestFit="1" customWidth="1"/>
    <col min="2" max="2" width="6.57421875" style="30" bestFit="1" customWidth="1"/>
    <col min="3" max="3" width="8.7109375" style="30" hidden="1" customWidth="1"/>
    <col min="4" max="4" width="6.28125" style="30" hidden="1" customWidth="1"/>
    <col min="5" max="5" width="6.57421875" style="30" hidden="1" customWidth="1"/>
    <col min="6" max="6" width="6.28125" style="30" hidden="1" customWidth="1"/>
    <col min="7" max="7" width="6.28125" style="30" bestFit="1" customWidth="1"/>
    <col min="8" max="9" width="6.28125" style="30" customWidth="1"/>
    <col min="10" max="10" width="6.28125" style="30" bestFit="1" customWidth="1"/>
    <col min="11" max="11" width="8.7109375" style="30" customWidth="1"/>
    <col min="12" max="12" width="6.8515625" style="30" bestFit="1" customWidth="1"/>
    <col min="13" max="13" width="7.8515625" style="30" bestFit="1" customWidth="1"/>
    <col min="14" max="14" width="6.8515625" style="30" bestFit="1" customWidth="1"/>
    <col min="15" max="15" width="8.57421875" style="30" bestFit="1" customWidth="1"/>
    <col min="16" max="16" width="8.00390625" style="30" bestFit="1" customWidth="1"/>
    <col min="17" max="16384" width="8.7109375" style="30" customWidth="1"/>
  </cols>
  <sheetData>
    <row r="1" spans="1:18" ht="12.75">
      <c r="A1" s="117" t="s">
        <v>750</v>
      </c>
      <c r="B1" s="10"/>
      <c r="C1" s="10"/>
      <c r="D1" s="10"/>
      <c r="E1" s="80"/>
      <c r="F1" s="80"/>
      <c r="G1" s="80"/>
      <c r="H1" s="80"/>
      <c r="I1" s="80"/>
      <c r="J1" s="118">
        <v>6</v>
      </c>
      <c r="K1" s="10"/>
      <c r="L1" s="10"/>
      <c r="M1" s="10"/>
      <c r="N1" s="10"/>
      <c r="O1" s="10"/>
      <c r="P1" s="80" t="s">
        <v>316</v>
      </c>
      <c r="Q1" s="10"/>
      <c r="R1" s="10"/>
    </row>
    <row r="2" spans="1:18" ht="12.75">
      <c r="A2" s="10"/>
      <c r="B2" s="10"/>
      <c r="C2" s="10"/>
      <c r="D2" s="10"/>
      <c r="E2" s="80"/>
      <c r="F2" s="80"/>
      <c r="G2" s="80"/>
      <c r="H2" s="80"/>
      <c r="I2" s="80"/>
      <c r="J2" s="80" t="s">
        <v>395</v>
      </c>
      <c r="K2" s="10"/>
      <c r="L2" s="80"/>
      <c r="M2" s="80" t="s">
        <v>390</v>
      </c>
      <c r="N2" s="80" t="s">
        <v>392</v>
      </c>
      <c r="O2" s="80" t="s">
        <v>393</v>
      </c>
      <c r="P2" s="80" t="s">
        <v>387</v>
      </c>
      <c r="Q2" s="10"/>
      <c r="R2" s="10"/>
    </row>
    <row r="3" spans="1:18" ht="12.75">
      <c r="A3" s="10"/>
      <c r="B3" s="10"/>
      <c r="C3" s="80" t="s">
        <v>386</v>
      </c>
      <c r="D3" s="80" t="s">
        <v>386</v>
      </c>
      <c r="E3" s="80" t="s">
        <v>386</v>
      </c>
      <c r="F3" s="80" t="s">
        <v>386</v>
      </c>
      <c r="G3" s="80" t="s">
        <v>386</v>
      </c>
      <c r="H3" s="80" t="s">
        <v>386</v>
      </c>
      <c r="I3" s="80" t="s">
        <v>386</v>
      </c>
      <c r="J3" s="80" t="s">
        <v>386</v>
      </c>
      <c r="K3" s="80" t="s">
        <v>396</v>
      </c>
      <c r="L3" s="80" t="s">
        <v>316</v>
      </c>
      <c r="M3" s="80" t="s">
        <v>391</v>
      </c>
      <c r="N3" s="80" t="s">
        <v>609</v>
      </c>
      <c r="O3" s="80" t="s">
        <v>382</v>
      </c>
      <c r="P3" s="80" t="s">
        <v>388</v>
      </c>
      <c r="Q3" s="10"/>
      <c r="R3" s="10"/>
    </row>
    <row r="4" spans="1:18" ht="12.75">
      <c r="A4" s="10" t="s">
        <v>93</v>
      </c>
      <c r="B4" s="10"/>
      <c r="C4" s="119">
        <v>2003</v>
      </c>
      <c r="D4" s="119">
        <v>2004</v>
      </c>
      <c r="E4" s="119">
        <v>2005</v>
      </c>
      <c r="F4" s="119">
        <v>2006</v>
      </c>
      <c r="G4" s="119">
        <v>2007</v>
      </c>
      <c r="H4" s="119">
        <v>2008</v>
      </c>
      <c r="I4" s="119">
        <v>2009</v>
      </c>
      <c r="J4" s="21">
        <v>2010</v>
      </c>
      <c r="K4" s="21">
        <v>2010</v>
      </c>
      <c r="L4" s="21">
        <v>2010</v>
      </c>
      <c r="M4" s="21">
        <v>2011</v>
      </c>
      <c r="N4" s="21">
        <v>2011</v>
      </c>
      <c r="O4" s="21">
        <v>2011</v>
      </c>
      <c r="P4" s="128" t="s">
        <v>881</v>
      </c>
      <c r="Q4" s="119" t="s">
        <v>90</v>
      </c>
      <c r="R4" s="10"/>
    </row>
    <row r="5" spans="1:18" ht="12.75">
      <c r="A5" s="10" t="s">
        <v>561</v>
      </c>
      <c r="B5" s="120">
        <v>52.1309</v>
      </c>
      <c r="C5" s="120"/>
      <c r="D5" s="121">
        <v>350</v>
      </c>
      <c r="E5" s="122">
        <v>350</v>
      </c>
      <c r="F5" s="122">
        <v>350</v>
      </c>
      <c r="G5" s="122">
        <v>400</v>
      </c>
      <c r="H5" s="122">
        <v>544</v>
      </c>
      <c r="I5" s="122"/>
      <c r="J5" s="122">
        <v>400</v>
      </c>
      <c r="K5" s="122">
        <v>700</v>
      </c>
      <c r="L5" s="122">
        <v>700</v>
      </c>
      <c r="M5" s="122">
        <v>700</v>
      </c>
      <c r="N5" s="122">
        <v>700</v>
      </c>
      <c r="O5" s="122">
        <v>700</v>
      </c>
      <c r="P5" s="123"/>
      <c r="Q5" s="10" t="s">
        <v>749</v>
      </c>
      <c r="R5" s="10"/>
    </row>
    <row r="6" spans="1:18" ht="12.75">
      <c r="A6" s="10" t="s">
        <v>752</v>
      </c>
      <c r="B6" s="120">
        <v>52.1331</v>
      </c>
      <c r="C6" s="10">
        <v>2241</v>
      </c>
      <c r="D6" s="10">
        <v>1140</v>
      </c>
      <c r="E6" s="10">
        <v>104</v>
      </c>
      <c r="F6" s="10">
        <v>1153</v>
      </c>
      <c r="G6" s="10">
        <v>405</v>
      </c>
      <c r="H6" s="10"/>
      <c r="I6" s="10">
        <v>701</v>
      </c>
      <c r="J6" s="10">
        <v>0</v>
      </c>
      <c r="K6" s="10">
        <v>500</v>
      </c>
      <c r="L6" s="10">
        <v>500</v>
      </c>
      <c r="M6" s="10">
        <v>500</v>
      </c>
      <c r="N6" s="10">
        <v>500</v>
      </c>
      <c r="O6" s="10">
        <v>500</v>
      </c>
      <c r="P6" s="10"/>
      <c r="Q6" s="10"/>
      <c r="R6" s="10"/>
    </row>
    <row r="7" spans="1:18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0" t="s">
        <v>751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1" ht="12.75">
      <c r="A10" s="117" t="s">
        <v>91</v>
      </c>
      <c r="B10" s="117"/>
      <c r="C10" s="124">
        <f>SUM(C5:C9)</f>
        <v>2241</v>
      </c>
      <c r="D10" s="124">
        <f>SUM(D5:D9)</f>
        <v>1490</v>
      </c>
      <c r="E10" s="124">
        <f>SUM(E5:E9)</f>
        <v>454</v>
      </c>
      <c r="F10" s="124">
        <f>SUM(F5:F9)</f>
        <v>1503</v>
      </c>
      <c r="G10" s="124">
        <f>SUM(G5:G9)</f>
        <v>805</v>
      </c>
      <c r="H10" s="124">
        <v>544</v>
      </c>
      <c r="I10" s="124">
        <v>701</v>
      </c>
      <c r="J10" s="124">
        <f aca="true" t="shared" si="0" ref="J10:P10">SUM(J5:J9)</f>
        <v>400</v>
      </c>
      <c r="K10" s="124">
        <f t="shared" si="0"/>
        <v>1200</v>
      </c>
      <c r="L10" s="124">
        <f t="shared" si="0"/>
        <v>1200</v>
      </c>
      <c r="M10" s="124">
        <f t="shared" si="0"/>
        <v>1200</v>
      </c>
      <c r="N10" s="124">
        <f t="shared" si="0"/>
        <v>1200</v>
      </c>
      <c r="O10" s="124">
        <f t="shared" si="0"/>
        <v>1200</v>
      </c>
      <c r="P10" s="124">
        <f t="shared" si="0"/>
        <v>0</v>
      </c>
      <c r="Q10" s="10"/>
      <c r="R10" s="10"/>
      <c r="S10" s="115"/>
      <c r="U10" s="30" t="s">
        <v>601</v>
      </c>
    </row>
    <row r="11" spans="1:20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T11" s="115"/>
    </row>
    <row r="12" spans="1:20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445</v>
      </c>
      <c r="L12" s="10"/>
      <c r="M12" s="10"/>
      <c r="N12" s="125"/>
      <c r="O12" s="10"/>
      <c r="P12" s="10"/>
      <c r="Q12" s="10"/>
      <c r="R12" s="10"/>
      <c r="T12" s="115"/>
    </row>
    <row r="13" spans="1:2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668</v>
      </c>
      <c r="L13" s="10"/>
      <c r="M13" s="10"/>
      <c r="N13" s="125"/>
      <c r="O13" s="10"/>
      <c r="P13" s="10"/>
      <c r="Q13" s="10"/>
      <c r="R13" s="10"/>
      <c r="T13" s="115"/>
    </row>
    <row r="14" spans="1:20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 t="s">
        <v>397</v>
      </c>
      <c r="L14" s="10"/>
      <c r="M14" s="10"/>
      <c r="N14" s="125"/>
      <c r="O14" s="10"/>
      <c r="P14" s="10"/>
      <c r="Q14" s="10"/>
      <c r="R14" s="10"/>
      <c r="T14" s="115"/>
    </row>
    <row r="15" spans="1:20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T15" s="115"/>
    </row>
  </sheetData>
  <printOptions gridLines="1"/>
  <pageMargins left="0.25" right="0.25" top="1" bottom="0.55" header="0.5" footer="0.25"/>
  <pageSetup fitToHeight="1" fitToWidth="1" horizontalDpi="600" verticalDpi="600" orientation="landscape" scale="91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V7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6" width="8.00390625" style="0" hidden="1" customWidth="1"/>
    <col min="7" max="7" width="7.57421875" style="0" hidden="1" customWidth="1"/>
    <col min="8" max="8" width="7.140625" style="0" hidden="1" customWidth="1"/>
    <col min="9" max="9" width="7.57421875" style="0" hidden="1" customWidth="1"/>
    <col min="10" max="10" width="8.00390625" style="0" hidden="1" customWidth="1"/>
    <col min="11" max="13" width="8.00390625" style="0" customWidth="1"/>
    <col min="15" max="15" width="7.57421875" style="0" bestFit="1" customWidth="1"/>
    <col min="16" max="16" width="11.00390625" style="0" bestFit="1" customWidth="1"/>
    <col min="18" max="18" width="10.7109375" style="0" bestFit="1" customWidth="1"/>
    <col min="19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421</v>
      </c>
      <c r="N3" s="53">
        <v>6</v>
      </c>
      <c r="O3" s="9"/>
      <c r="T3" s="1" t="s">
        <v>399</v>
      </c>
    </row>
    <row r="4" spans="2:20" ht="12.75">
      <c r="B4" s="3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0" ht="12.75">
      <c r="A7" t="s">
        <v>190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2"/>
      <c r="S7" s="2"/>
      <c r="T7" s="75"/>
    </row>
    <row r="8" spans="1:20" ht="12.75">
      <c r="A8" t="s">
        <v>194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55649</v>
      </c>
      <c r="M8" s="2">
        <v>61632</v>
      </c>
      <c r="N8" s="2">
        <v>17820</v>
      </c>
      <c r="O8" s="2">
        <v>71277</v>
      </c>
      <c r="P8" s="2">
        <v>71277</v>
      </c>
      <c r="Q8" s="2">
        <v>71277</v>
      </c>
      <c r="R8" s="2">
        <v>71277</v>
      </c>
      <c r="S8" s="2">
        <v>71277</v>
      </c>
      <c r="T8" s="75">
        <f>(S8-P8)/P8</f>
        <v>0</v>
      </c>
    </row>
    <row r="9" spans="1:20" ht="12.75">
      <c r="A9" t="s">
        <v>844</v>
      </c>
      <c r="B9" s="4"/>
      <c r="C9" s="5"/>
      <c r="D9" s="5"/>
      <c r="E9" s="5"/>
      <c r="F9" s="5"/>
      <c r="G9" s="5"/>
      <c r="H9" s="5"/>
      <c r="I9" s="5"/>
      <c r="J9" s="5"/>
      <c r="K9" s="5"/>
      <c r="L9" s="2">
        <v>12063</v>
      </c>
      <c r="M9" s="2"/>
      <c r="N9" s="2"/>
      <c r="O9" s="2"/>
      <c r="P9" s="2"/>
      <c r="Q9" s="5"/>
      <c r="R9" s="5"/>
      <c r="S9" s="5"/>
      <c r="T9" s="48"/>
    </row>
    <row r="10" spans="2:20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8"/>
    </row>
    <row r="11" spans="1:20" ht="12.75">
      <c r="A11" s="6" t="s">
        <v>91</v>
      </c>
      <c r="B11" s="6"/>
      <c r="C11" s="7">
        <f>SUM(C7:C8)</f>
        <v>43231</v>
      </c>
      <c r="D11" s="8">
        <f>SUM(D7:D8)</f>
        <v>44080</v>
      </c>
      <c r="E11" s="8">
        <f>SUM(E7:E10)</f>
        <v>43893</v>
      </c>
      <c r="F11" s="8">
        <f>SUM(F7:F10)</f>
        <v>57786</v>
      </c>
      <c r="G11" s="8">
        <f>SUM(G7:G10)</f>
        <v>51974</v>
      </c>
      <c r="H11" s="8">
        <f>SUM(H7:H10)</f>
        <v>51014</v>
      </c>
      <c r="I11" s="8">
        <f>SUM(I7:I10)</f>
        <v>50190</v>
      </c>
      <c r="J11" s="8">
        <v>36375</v>
      </c>
      <c r="K11" s="8">
        <v>48250</v>
      </c>
      <c r="L11" s="8">
        <v>67712</v>
      </c>
      <c r="M11" s="8">
        <v>61632</v>
      </c>
      <c r="N11" s="8">
        <f aca="true" t="shared" si="0" ref="N11:S11">SUM(N7:N10)</f>
        <v>17820</v>
      </c>
      <c r="O11" s="8">
        <f t="shared" si="0"/>
        <v>71277</v>
      </c>
      <c r="P11" s="8">
        <f t="shared" si="0"/>
        <v>71277</v>
      </c>
      <c r="Q11" s="8">
        <f t="shared" si="0"/>
        <v>71277</v>
      </c>
      <c r="R11" s="8">
        <f t="shared" si="0"/>
        <v>71277</v>
      </c>
      <c r="S11" s="8">
        <f t="shared" si="0"/>
        <v>71277</v>
      </c>
      <c r="T11" s="49">
        <f>(S11-P11)/P11</f>
        <v>0</v>
      </c>
    </row>
    <row r="12" ht="12.75">
      <c r="T12" s="48"/>
    </row>
    <row r="13" spans="16:20" ht="12.75">
      <c r="P13" s="20" t="s">
        <v>445</v>
      </c>
      <c r="Q13" s="20"/>
      <c r="R13" s="52">
        <f>Q11-R11</f>
        <v>0</v>
      </c>
      <c r="T13" s="48"/>
    </row>
    <row r="14" spans="16:20" ht="12.75">
      <c r="P14" s="20" t="s">
        <v>668</v>
      </c>
      <c r="Q14" s="20"/>
      <c r="R14" s="52">
        <f>P11-R11</f>
        <v>0</v>
      </c>
      <c r="T14" s="48"/>
    </row>
    <row r="15" spans="16:20" ht="12.75">
      <c r="P15" s="20" t="s">
        <v>397</v>
      </c>
      <c r="Q15" s="20"/>
      <c r="R15" s="52">
        <f>R11-S11</f>
        <v>0</v>
      </c>
      <c r="T15" s="48"/>
    </row>
    <row r="16" spans="1:20" ht="12.75">
      <c r="A16" s="30"/>
      <c r="T16" s="48"/>
    </row>
    <row r="17" spans="1:20" ht="12.75">
      <c r="A17" s="6"/>
      <c r="T17" s="48"/>
    </row>
    <row r="18" spans="20:22" ht="12.75">
      <c r="T18" s="48"/>
      <c r="V18" t="s">
        <v>601</v>
      </c>
    </row>
    <row r="19" spans="19:20" ht="12.75">
      <c r="S19" s="2"/>
      <c r="T19" s="48"/>
    </row>
    <row r="20" ht="12.75">
      <c r="T20" s="48"/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55" ht="12.75">
      <c r="R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S61" s="2"/>
    </row>
    <row r="70" ht="12.75">
      <c r="T70" s="2"/>
    </row>
    <row r="71" ht="12.75">
      <c r="T71" s="2"/>
    </row>
    <row r="72" ht="12.75">
      <c r="T72" s="2"/>
    </row>
    <row r="73" ht="12.75">
      <c r="T73" s="2"/>
    </row>
    <row r="74" ht="12.75">
      <c r="T74" s="2"/>
    </row>
    <row r="75" ht="12.75">
      <c r="T75" s="2"/>
    </row>
  </sheetData>
  <printOptions gridLines="1"/>
  <pageMargins left="0.25" right="0.25" top="1" bottom="0.55" header="0.5" footer="0.25"/>
  <pageSetup fitToHeight="1" fitToWidth="1" horizontalDpi="300" verticalDpi="300" orientation="landscape" scale="88" r:id="rId1"/>
  <headerFooter alignWithMargins="0">
    <oddFooter>&amp;L&amp;F
&amp;A&amp;CPage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10" width="6.421875" style="0" hidden="1" customWidth="1"/>
    <col min="11" max="13" width="7.7109375" style="0" customWidth="1"/>
    <col min="14" max="14" width="6.8515625" style="0" bestFit="1" customWidth="1"/>
    <col min="15" max="15" width="7.140625" style="0" bestFit="1" customWidth="1"/>
    <col min="16" max="16" width="8.57421875" style="0" customWidth="1"/>
    <col min="17" max="17" width="9.28125" style="0" customWidth="1"/>
    <col min="18" max="18" width="11.00390625" style="0" bestFit="1" customWidth="1"/>
    <col min="19" max="19" width="8.710937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422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s="20" t="s">
        <v>604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4387</v>
      </c>
      <c r="M7" s="2">
        <v>1811</v>
      </c>
      <c r="N7" s="2">
        <v>0</v>
      </c>
      <c r="O7" s="2">
        <f>+N7/$N$3*12</f>
        <v>0</v>
      </c>
      <c r="P7" s="2">
        <v>4000</v>
      </c>
      <c r="Q7" s="2">
        <v>6000</v>
      </c>
      <c r="R7" s="2">
        <v>6000</v>
      </c>
      <c r="S7" s="2">
        <v>6000</v>
      </c>
      <c r="T7" s="75">
        <f>(S7-P7)/P7</f>
        <v>0.5</v>
      </c>
    </row>
    <row r="8" spans="1:20" ht="12.75" hidden="1">
      <c r="A8" t="s">
        <v>126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/>
      <c r="N8" s="2"/>
      <c r="O8" s="2">
        <f aca="true" t="shared" si="0" ref="O8:O15">+N8/$N$3*12</f>
        <v>0</v>
      </c>
      <c r="P8" s="2"/>
      <c r="Q8" s="2"/>
      <c r="R8" s="2"/>
      <c r="S8" s="2"/>
      <c r="T8" s="75"/>
    </row>
    <row r="9" spans="1:20" ht="12.75">
      <c r="A9" t="s">
        <v>113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336</v>
      </c>
      <c r="M9" s="2">
        <v>139</v>
      </c>
      <c r="N9" s="2">
        <v>0</v>
      </c>
      <c r="O9" s="2">
        <f t="shared" si="0"/>
        <v>0</v>
      </c>
      <c r="P9" s="2">
        <v>306</v>
      </c>
      <c r="Q9" s="2">
        <f>(Q7+Q13)*0.0765</f>
        <v>1224</v>
      </c>
      <c r="R9" s="2">
        <f>(R7+R13)*0.0765</f>
        <v>1224</v>
      </c>
      <c r="S9" s="2">
        <f>(S7+S13)*0.0765</f>
        <v>1224</v>
      </c>
      <c r="T9" s="75">
        <f>(S9-P9)/P9</f>
        <v>3</v>
      </c>
    </row>
    <row r="10" spans="1:20" ht="12.75">
      <c r="A10" t="s">
        <v>115</v>
      </c>
      <c r="B10" s="4">
        <v>52.32</v>
      </c>
      <c r="C10" s="2"/>
      <c r="D10" s="2"/>
      <c r="E10" s="2"/>
      <c r="F10" s="2"/>
      <c r="G10" s="2">
        <v>35</v>
      </c>
      <c r="H10" s="2">
        <v>43</v>
      </c>
      <c r="I10" s="2"/>
      <c r="J10" s="2">
        <v>56</v>
      </c>
      <c r="K10" s="2">
        <v>196</v>
      </c>
      <c r="L10" s="2">
        <v>378</v>
      </c>
      <c r="M10" s="2">
        <v>112</v>
      </c>
      <c r="N10" s="2">
        <v>0</v>
      </c>
      <c r="O10" s="2">
        <f t="shared" si="0"/>
        <v>0</v>
      </c>
      <c r="P10" s="2">
        <v>200</v>
      </c>
      <c r="Q10" s="2">
        <v>200</v>
      </c>
      <c r="R10" s="2">
        <v>200</v>
      </c>
      <c r="S10" s="2">
        <v>200</v>
      </c>
      <c r="T10" s="75"/>
    </row>
    <row r="11" spans="1:20" ht="12.75">
      <c r="A11" t="s">
        <v>116</v>
      </c>
      <c r="B11" s="4">
        <v>52.321</v>
      </c>
      <c r="C11" s="2">
        <v>9</v>
      </c>
      <c r="D11" s="2">
        <v>284</v>
      </c>
      <c r="E11" s="2">
        <v>70</v>
      </c>
      <c r="F11" s="2">
        <v>100</v>
      </c>
      <c r="G11" s="2">
        <v>2849</v>
      </c>
      <c r="H11" s="2">
        <v>230</v>
      </c>
      <c r="I11" s="2">
        <v>583</v>
      </c>
      <c r="J11" s="2">
        <v>394</v>
      </c>
      <c r="K11" s="2">
        <v>1804</v>
      </c>
      <c r="L11" s="2">
        <v>1643</v>
      </c>
      <c r="M11" s="2">
        <v>811</v>
      </c>
      <c r="N11" s="2">
        <v>0</v>
      </c>
      <c r="O11" s="2">
        <f t="shared" si="0"/>
        <v>0</v>
      </c>
      <c r="P11" s="2">
        <v>1500</v>
      </c>
      <c r="Q11" s="2">
        <v>4000</v>
      </c>
      <c r="R11" s="2">
        <v>4000</v>
      </c>
      <c r="S11" s="2">
        <v>4000</v>
      </c>
      <c r="T11" s="75">
        <f>(S11-P11)/P11</f>
        <v>1.6666666666666667</v>
      </c>
    </row>
    <row r="12" spans="1:20" ht="12.75">
      <c r="A12" t="s">
        <v>128</v>
      </c>
      <c r="B12" s="4">
        <v>52.35</v>
      </c>
      <c r="C12" s="2">
        <v>1730</v>
      </c>
      <c r="D12" s="2">
        <v>2964</v>
      </c>
      <c r="E12" s="2">
        <v>377</v>
      </c>
      <c r="F12" s="2">
        <v>1227</v>
      </c>
      <c r="G12" s="2">
        <v>1918</v>
      </c>
      <c r="H12" s="2">
        <v>2765</v>
      </c>
      <c r="I12" s="2">
        <v>1530</v>
      </c>
      <c r="J12" s="2">
        <v>2835</v>
      </c>
      <c r="K12" s="2">
        <v>1960</v>
      </c>
      <c r="L12" s="2">
        <f>1801+80</f>
        <v>1881</v>
      </c>
      <c r="M12" s="2">
        <v>1245</v>
      </c>
      <c r="N12" s="2">
        <v>579</v>
      </c>
      <c r="O12" s="2">
        <f t="shared" si="0"/>
        <v>1158</v>
      </c>
      <c r="P12" s="2">
        <v>1500</v>
      </c>
      <c r="Q12" s="2">
        <v>1500</v>
      </c>
      <c r="R12" s="2">
        <v>1500</v>
      </c>
      <c r="S12" s="2">
        <v>1500</v>
      </c>
      <c r="T12" s="75">
        <f>(S12-P12)/P12</f>
        <v>0</v>
      </c>
    </row>
    <row r="13" spans="1:20" ht="12.75">
      <c r="A13" t="s">
        <v>927</v>
      </c>
      <c r="B13" s="4">
        <v>52.362</v>
      </c>
      <c r="C13" s="2"/>
      <c r="D13" s="2"/>
      <c r="E13" s="2"/>
      <c r="F13" s="2">
        <v>1532</v>
      </c>
      <c r="G13" s="2">
        <v>9071</v>
      </c>
      <c r="H13" s="2">
        <v>3233</v>
      </c>
      <c r="I13" s="2">
        <v>24</v>
      </c>
      <c r="J13" s="2">
        <v>2500</v>
      </c>
      <c r="K13" s="2">
        <v>6350</v>
      </c>
      <c r="L13" s="2">
        <v>195</v>
      </c>
      <c r="M13" s="2">
        <v>2725</v>
      </c>
      <c r="N13" s="2">
        <v>350</v>
      </c>
      <c r="O13" s="2">
        <f t="shared" si="0"/>
        <v>700</v>
      </c>
      <c r="P13" s="2">
        <v>4000</v>
      </c>
      <c r="Q13" s="2">
        <v>10000</v>
      </c>
      <c r="R13" s="2">
        <v>10000</v>
      </c>
      <c r="S13" s="2">
        <v>10000</v>
      </c>
      <c r="T13" s="75"/>
    </row>
    <row r="14" spans="1:20" ht="12.75">
      <c r="A14" t="s">
        <v>510</v>
      </c>
      <c r="B14" s="4">
        <v>52.37</v>
      </c>
      <c r="C14" s="2"/>
      <c r="D14" s="2"/>
      <c r="E14" s="2"/>
      <c r="F14" s="2"/>
      <c r="G14" s="2">
        <v>60</v>
      </c>
      <c r="H14" s="2">
        <v>240</v>
      </c>
      <c r="I14" s="2"/>
      <c r="J14" s="2">
        <v>285</v>
      </c>
      <c r="K14" s="2">
        <v>298</v>
      </c>
      <c r="L14" s="2">
        <v>3000</v>
      </c>
      <c r="M14" s="2">
        <v>120</v>
      </c>
      <c r="N14" s="2">
        <v>60</v>
      </c>
      <c r="O14" s="2">
        <f t="shared" si="0"/>
        <v>120</v>
      </c>
      <c r="P14" s="2">
        <v>235</v>
      </c>
      <c r="Q14" s="2">
        <v>500</v>
      </c>
      <c r="R14" s="2">
        <v>500</v>
      </c>
      <c r="S14" s="2">
        <v>500</v>
      </c>
      <c r="T14" s="75"/>
    </row>
    <row r="15" spans="1:20" ht="12.75">
      <c r="A15" t="s">
        <v>123</v>
      </c>
      <c r="B15" s="4">
        <v>53.171</v>
      </c>
      <c r="C15" s="2">
        <v>14</v>
      </c>
      <c r="D15" s="2">
        <v>107</v>
      </c>
      <c r="E15" s="2"/>
      <c r="F15" s="2">
        <v>15</v>
      </c>
      <c r="G15" s="2">
        <v>380</v>
      </c>
      <c r="H15" s="2">
        <v>50</v>
      </c>
      <c r="I15" s="2">
        <v>12</v>
      </c>
      <c r="J15" s="2">
        <v>27</v>
      </c>
      <c r="K15" s="2">
        <v>48</v>
      </c>
      <c r="L15" s="2">
        <v>45</v>
      </c>
      <c r="M15" s="2"/>
      <c r="N15" s="2">
        <v>0</v>
      </c>
      <c r="O15" s="2">
        <f t="shared" si="0"/>
        <v>0</v>
      </c>
      <c r="P15" s="2">
        <v>50</v>
      </c>
      <c r="Q15" s="2">
        <v>500</v>
      </c>
      <c r="R15" s="2">
        <v>50</v>
      </c>
      <c r="S15" s="2">
        <v>50</v>
      </c>
      <c r="T15" s="75">
        <f>(S15-P15)/P15</f>
        <v>0</v>
      </c>
    </row>
    <row r="16" spans="2:20" ht="12.7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8"/>
    </row>
    <row r="17" spans="1:20" ht="12.75">
      <c r="A17" s="6" t="s">
        <v>91</v>
      </c>
      <c r="B17" s="6"/>
      <c r="C17" s="7">
        <f>SUM(C7:C15)</f>
        <v>2213</v>
      </c>
      <c r="D17" s="8">
        <f>SUM(D7:D15)</f>
        <v>4077</v>
      </c>
      <c r="E17" s="8">
        <f>SUM(E7:E16)</f>
        <v>447</v>
      </c>
      <c r="F17" s="8">
        <f>SUM(F7:F16)</f>
        <v>2874</v>
      </c>
      <c r="G17" s="8">
        <f>SUM(G7:G16)</f>
        <v>18794</v>
      </c>
      <c r="H17" s="8">
        <f>SUM(H7:H16)</f>
        <v>7095</v>
      </c>
      <c r="I17" s="8">
        <f>SUM(I7:I16)</f>
        <v>2461</v>
      </c>
      <c r="J17" s="8">
        <v>7550</v>
      </c>
      <c r="K17" s="8">
        <f aca="true" t="shared" si="1" ref="K17:S17">SUM(K7:K16)</f>
        <v>16307</v>
      </c>
      <c r="L17" s="8">
        <v>11865</v>
      </c>
      <c r="M17" s="8">
        <v>6963</v>
      </c>
      <c r="N17" s="8">
        <f t="shared" si="1"/>
        <v>989</v>
      </c>
      <c r="O17" s="8">
        <f t="shared" si="1"/>
        <v>1978</v>
      </c>
      <c r="P17" s="8">
        <f t="shared" si="1"/>
        <v>11791</v>
      </c>
      <c r="Q17" s="8">
        <f t="shared" si="1"/>
        <v>23924</v>
      </c>
      <c r="R17" s="8">
        <f t="shared" si="1"/>
        <v>23474</v>
      </c>
      <c r="S17" s="8">
        <f t="shared" si="1"/>
        <v>23474</v>
      </c>
      <c r="T17" s="79">
        <f>(S17-P17)/P17</f>
        <v>0.9908404715460944</v>
      </c>
    </row>
    <row r="18" ht="12.75">
      <c r="T18" s="48"/>
    </row>
    <row r="19" spans="17:20" ht="12.75">
      <c r="Q19" s="103" t="s">
        <v>445</v>
      </c>
      <c r="R19" s="52">
        <f>Q17-R17</f>
        <v>450</v>
      </c>
      <c r="T19" s="48"/>
    </row>
    <row r="20" spans="17:22" ht="12.75">
      <c r="Q20" s="103" t="s">
        <v>668</v>
      </c>
      <c r="R20" s="52">
        <f>P17-R17</f>
        <v>-11683</v>
      </c>
      <c r="T20" s="48"/>
      <c r="V20" t="s">
        <v>601</v>
      </c>
    </row>
    <row r="21" spans="17:20" ht="12.75">
      <c r="Q21" s="103" t="s">
        <v>397</v>
      </c>
      <c r="R21" s="52">
        <f>R17-S17</f>
        <v>0</v>
      </c>
      <c r="T21" s="48"/>
    </row>
    <row r="22" ht="12.75">
      <c r="T22" s="48"/>
    </row>
    <row r="23" ht="12.75">
      <c r="T23" s="48"/>
    </row>
    <row r="24" spans="1:20" ht="12.75">
      <c r="A24" s="6" t="s">
        <v>857</v>
      </c>
      <c r="T24" s="48"/>
    </row>
    <row r="25" ht="12.75">
      <c r="T25" s="48"/>
    </row>
    <row r="26" spans="1:20" ht="12.75">
      <c r="A26" s="6"/>
      <c r="T26" s="48"/>
    </row>
    <row r="27" spans="1:20" ht="12.75">
      <c r="A27" s="6"/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Y114"/>
  <sheetViews>
    <sheetView tabSelected="1" zoomScale="75" zoomScaleNormal="75" workbookViewId="0" topLeftCell="A2">
      <pane ySplit="1155" topLeftCell="BM28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9" width="10.421875" style="0" hidden="1" customWidth="1"/>
    <col min="10" max="13" width="10.421875" style="0" customWidth="1"/>
    <col min="14" max="14" width="10.421875" style="0" bestFit="1" customWidth="1"/>
    <col min="15" max="15" width="10.8515625" style="0" bestFit="1" customWidth="1"/>
    <col min="16" max="16" width="11.00390625" style="0" bestFit="1" customWidth="1"/>
    <col min="17" max="17" width="10.00390625" style="0" customWidth="1"/>
    <col min="18" max="19" width="10.8515625" style="0" bestFit="1" customWidth="1"/>
    <col min="20" max="20" width="8.57421875" style="0" customWidth="1"/>
    <col min="21" max="21" width="11.7109375" style="0" customWidth="1"/>
  </cols>
  <sheetData>
    <row r="1" ht="12.75">
      <c r="A1" t="s">
        <v>81</v>
      </c>
    </row>
    <row r="2" spans="1:16" ht="12.75">
      <c r="A2" t="s">
        <v>82</v>
      </c>
      <c r="O2" s="136"/>
      <c r="P2" s="136"/>
    </row>
    <row r="3" spans="1:20" ht="12.75">
      <c r="A3" s="6" t="s">
        <v>423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s="57" t="s">
        <v>93</v>
      </c>
      <c r="B6" s="57"/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5" ht="12.75">
      <c r="A7" s="20" t="s">
        <v>604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915602.6</v>
      </c>
      <c r="M7" s="2">
        <v>902913</v>
      </c>
      <c r="N7" s="2">
        <v>738282</v>
      </c>
      <c r="O7" s="2">
        <f>+N7/$N$3*12</f>
        <v>885938.3999999999</v>
      </c>
      <c r="P7" s="2">
        <v>964222.67</v>
      </c>
      <c r="Q7" s="19">
        <v>1017132.51</v>
      </c>
      <c r="R7" s="19">
        <v>1017132.51</v>
      </c>
      <c r="S7" s="19">
        <v>1017132.51</v>
      </c>
      <c r="T7" s="75">
        <f aca="true" t="shared" si="0" ref="T7:T13">(S7-P7)/P7</f>
        <v>0.05487305126314855</v>
      </c>
      <c r="U7" s="19" t="s">
        <v>531</v>
      </c>
      <c r="W7" s="152"/>
      <c r="X7" s="136"/>
      <c r="Y7" s="152"/>
    </row>
    <row r="8" spans="1:21" ht="12.75">
      <c r="A8" t="s">
        <v>591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50683</v>
      </c>
      <c r="M8" s="2">
        <v>71803</v>
      </c>
      <c r="N8" s="2">
        <v>53653</v>
      </c>
      <c r="O8" s="2">
        <f>+N8/$N$3*12</f>
        <v>64383.600000000006</v>
      </c>
      <c r="P8" s="2">
        <v>40000</v>
      </c>
      <c r="Q8" s="2">
        <v>40000</v>
      </c>
      <c r="R8" s="2">
        <v>40000</v>
      </c>
      <c r="S8" s="2">
        <v>40000</v>
      </c>
      <c r="T8" s="75">
        <f t="shared" si="0"/>
        <v>0</v>
      </c>
      <c r="U8" s="2"/>
    </row>
    <row r="9" spans="1:21" ht="12.75">
      <c r="A9" t="s">
        <v>656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7344</v>
      </c>
      <c r="M9" s="2">
        <v>6565</v>
      </c>
      <c r="N9" s="2">
        <v>0</v>
      </c>
      <c r="O9" s="2">
        <v>10080</v>
      </c>
      <c r="P9" s="2">
        <v>10079.85</v>
      </c>
      <c r="Q9" s="2">
        <v>9500</v>
      </c>
      <c r="R9" s="2">
        <v>9500</v>
      </c>
      <c r="S9" s="2">
        <v>9500</v>
      </c>
      <c r="T9" s="75">
        <f t="shared" si="0"/>
        <v>-0.057525657623873405</v>
      </c>
      <c r="U9" s="2"/>
    </row>
    <row r="10" spans="1:20" ht="12.75">
      <c r="A10" t="s">
        <v>126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40569</v>
      </c>
      <c r="M10" s="2">
        <v>34993</v>
      </c>
      <c r="N10" s="2">
        <v>29680</v>
      </c>
      <c r="O10" s="2">
        <f>+N10/$N$3*12</f>
        <v>35616</v>
      </c>
      <c r="P10" s="2">
        <v>40000</v>
      </c>
      <c r="Q10" s="2">
        <v>40000</v>
      </c>
      <c r="R10" s="2">
        <v>40000</v>
      </c>
      <c r="S10" s="2">
        <v>40000</v>
      </c>
      <c r="T10" s="75">
        <f t="shared" si="0"/>
        <v>0</v>
      </c>
    </row>
    <row r="11" spans="1:21" ht="12.75">
      <c r="A11" t="s">
        <v>817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f>104997-31</f>
        <v>104966</v>
      </c>
      <c r="M11" s="2">
        <v>99993</v>
      </c>
      <c r="N11" s="2">
        <v>82466</v>
      </c>
      <c r="O11" s="2">
        <f>+N11/$N$3*12</f>
        <v>98959.20000000001</v>
      </c>
      <c r="P11" s="28">
        <v>132840</v>
      </c>
      <c r="Q11" s="28">
        <v>128960</v>
      </c>
      <c r="R11" s="28">
        <f>26*4960</f>
        <v>128960</v>
      </c>
      <c r="S11" s="28">
        <v>128960</v>
      </c>
      <c r="T11" s="75">
        <f t="shared" si="0"/>
        <v>-0.029208069858476363</v>
      </c>
      <c r="U11" s="30"/>
    </row>
    <row r="12" spans="1:22" ht="12.75">
      <c r="A12" t="s">
        <v>113</v>
      </c>
      <c r="B12" s="4">
        <v>51.22</v>
      </c>
      <c r="C12" s="2">
        <v>47775</v>
      </c>
      <c r="D12" s="2">
        <v>49989</v>
      </c>
      <c r="E12" s="2">
        <v>48967</v>
      </c>
      <c r="F12" s="2">
        <v>57540</v>
      </c>
      <c r="G12" s="2">
        <v>59043</v>
      </c>
      <c r="H12" s="2">
        <v>60145</v>
      </c>
      <c r="I12" s="2">
        <v>63386</v>
      </c>
      <c r="J12" s="2">
        <v>70661</v>
      </c>
      <c r="K12" s="2">
        <v>71288</v>
      </c>
      <c r="L12" s="2">
        <v>74865.89</v>
      </c>
      <c r="M12" s="2">
        <v>75155</v>
      </c>
      <c r="N12" s="2">
        <v>60618</v>
      </c>
      <c r="O12" s="2">
        <f>+N12/$N$3*12</f>
        <v>72741.6</v>
      </c>
      <c r="P12" s="2">
        <v>80654.14278</v>
      </c>
      <c r="Q12" s="19">
        <f>(Q7+Q8+Q9+Q10)*0.0765</f>
        <v>84657.387015</v>
      </c>
      <c r="R12" s="19">
        <f>(R7+R8+R9+R10)*0.0765</f>
        <v>84657.387015</v>
      </c>
      <c r="S12" s="19">
        <f>(S7+S8+S9+S10)*0.0765</f>
        <v>84657.387015</v>
      </c>
      <c r="T12" s="75">
        <f t="shared" si="0"/>
        <v>0.049634700673958435</v>
      </c>
      <c r="U12" s="30"/>
      <c r="V12" s="6"/>
    </row>
    <row r="13" spans="1:20" ht="12.75">
      <c r="A13" t="s">
        <v>127</v>
      </c>
      <c r="B13" s="4">
        <v>51.24</v>
      </c>
      <c r="C13" s="2">
        <v>8950</v>
      </c>
      <c r="D13" s="2">
        <v>9373</v>
      </c>
      <c r="E13" s="2">
        <v>6541</v>
      </c>
      <c r="F13" s="2">
        <v>6369</v>
      </c>
      <c r="G13" s="2">
        <v>7292</v>
      </c>
      <c r="H13" s="2">
        <v>7471</v>
      </c>
      <c r="I13" s="2">
        <v>9256</v>
      </c>
      <c r="J13" s="2">
        <v>12280</v>
      </c>
      <c r="K13" s="2">
        <v>14073</v>
      </c>
      <c r="L13" s="2">
        <v>14770</v>
      </c>
      <c r="M13" s="2">
        <v>4798</v>
      </c>
      <c r="N13" s="2">
        <v>11018</v>
      </c>
      <c r="O13" s="2">
        <f>+N13/$N$3*12</f>
        <v>13221.599999999999</v>
      </c>
      <c r="P13" s="2">
        <v>13000</v>
      </c>
      <c r="Q13" s="2">
        <v>12000</v>
      </c>
      <c r="R13" s="2">
        <v>12000</v>
      </c>
      <c r="S13" s="2">
        <v>12000</v>
      </c>
      <c r="T13" s="75">
        <f t="shared" si="0"/>
        <v>-0.07692307692307693</v>
      </c>
    </row>
    <row r="14" spans="1:20" ht="12.75">
      <c r="A14" t="s">
        <v>653</v>
      </c>
      <c r="B14" s="4">
        <v>51.26</v>
      </c>
      <c r="C14" s="2"/>
      <c r="D14" s="2"/>
      <c r="E14" s="2"/>
      <c r="F14" s="2"/>
      <c r="G14" s="2"/>
      <c r="H14" s="2"/>
      <c r="I14" s="2"/>
      <c r="J14" s="2"/>
      <c r="K14" s="2">
        <v>271</v>
      </c>
      <c r="L14" s="2">
        <v>2880</v>
      </c>
      <c r="M14" s="2"/>
      <c r="N14" s="2">
        <v>8580</v>
      </c>
      <c r="O14" s="2">
        <f>+N14/$N$3*12</f>
        <v>10296</v>
      </c>
      <c r="P14" s="2"/>
      <c r="Q14" s="2"/>
      <c r="R14" s="2"/>
      <c r="S14" s="2"/>
      <c r="T14" s="75"/>
    </row>
    <row r="15" spans="2:20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</row>
    <row r="16" spans="1:21" ht="12.75">
      <c r="A16" t="s">
        <v>691</v>
      </c>
      <c r="B16" s="4">
        <v>52.1207</v>
      </c>
      <c r="C16" s="2"/>
      <c r="D16" s="2"/>
      <c r="E16" s="2"/>
      <c r="F16" s="2"/>
      <c r="G16" s="2"/>
      <c r="H16" s="2"/>
      <c r="I16" s="2"/>
      <c r="J16" s="2"/>
      <c r="K16" s="2">
        <v>578</v>
      </c>
      <c r="L16" s="2"/>
      <c r="M16" s="2">
        <v>-50</v>
      </c>
      <c r="N16" s="2">
        <v>100</v>
      </c>
      <c r="O16" s="2">
        <v>320</v>
      </c>
      <c r="P16" s="2">
        <v>320</v>
      </c>
      <c r="Q16" s="2">
        <v>650</v>
      </c>
      <c r="R16" s="2">
        <v>1000</v>
      </c>
      <c r="S16" s="2">
        <v>1000</v>
      </c>
      <c r="T16" s="75"/>
      <c r="U16" t="s">
        <v>526</v>
      </c>
    </row>
    <row r="17" spans="1:20" ht="12.75">
      <c r="A17" t="s">
        <v>180</v>
      </c>
      <c r="B17" s="4">
        <v>52.121</v>
      </c>
      <c r="C17" s="2"/>
      <c r="D17" s="2"/>
      <c r="E17" s="2"/>
      <c r="F17" s="2"/>
      <c r="G17" s="2"/>
      <c r="H17" s="2"/>
      <c r="I17" s="2">
        <v>69</v>
      </c>
      <c r="J17" s="2">
        <v>875</v>
      </c>
      <c r="K17" s="2"/>
      <c r="L17" s="2"/>
      <c r="M17" s="2">
        <v>1615</v>
      </c>
      <c r="N17" s="2">
        <v>0</v>
      </c>
      <c r="O17" s="2">
        <v>1000</v>
      </c>
      <c r="P17" s="2">
        <v>1000</v>
      </c>
      <c r="Q17" s="2">
        <v>1000</v>
      </c>
      <c r="R17" s="2">
        <v>1000</v>
      </c>
      <c r="S17" s="2">
        <v>1000</v>
      </c>
      <c r="T17" s="75"/>
    </row>
    <row r="18" spans="1:20" ht="12.75">
      <c r="A18" t="s">
        <v>516</v>
      </c>
      <c r="B18" s="4">
        <v>52.1211</v>
      </c>
      <c r="C18" s="2"/>
      <c r="D18" s="2"/>
      <c r="E18" s="2"/>
      <c r="F18" s="2"/>
      <c r="G18" s="2"/>
      <c r="H18" s="2"/>
      <c r="I18" s="2"/>
      <c r="J18" s="2">
        <v>413</v>
      </c>
      <c r="K18" s="2">
        <v>1538</v>
      </c>
      <c r="L18" s="2">
        <v>250</v>
      </c>
      <c r="M18" s="2"/>
      <c r="N18" s="2">
        <v>0</v>
      </c>
      <c r="O18" s="2"/>
      <c r="P18" s="2"/>
      <c r="Q18" s="2"/>
      <c r="R18" s="2"/>
      <c r="S18" s="2"/>
      <c r="T18" s="75"/>
    </row>
    <row r="19" spans="1:20" ht="12.75">
      <c r="A19" t="s">
        <v>197</v>
      </c>
      <c r="B19" s="4">
        <v>52.1303</v>
      </c>
      <c r="C19" s="2"/>
      <c r="D19" s="2"/>
      <c r="E19" s="2">
        <v>210</v>
      </c>
      <c r="F19" s="2">
        <v>225</v>
      </c>
      <c r="G19" s="2">
        <v>225</v>
      </c>
      <c r="H19" s="2">
        <v>354</v>
      </c>
      <c r="I19" s="2">
        <v>260</v>
      </c>
      <c r="J19" s="2">
        <v>275</v>
      </c>
      <c r="K19" s="2">
        <v>300</v>
      </c>
      <c r="L19" s="2">
        <v>350</v>
      </c>
      <c r="M19" s="2">
        <v>350</v>
      </c>
      <c r="N19" s="2">
        <v>350</v>
      </c>
      <c r="O19" s="2">
        <f aca="true" t="shared" si="1" ref="O19:O48">+N19/$N$3*12</f>
        <v>420</v>
      </c>
      <c r="P19" s="2">
        <v>475</v>
      </c>
      <c r="Q19" s="2">
        <v>600</v>
      </c>
      <c r="R19" s="2">
        <v>600</v>
      </c>
      <c r="S19" s="2">
        <v>600</v>
      </c>
      <c r="T19" s="75">
        <f>(S19-P19)/P19</f>
        <v>0.2631578947368421</v>
      </c>
    </row>
    <row r="20" spans="1:21" ht="12.75">
      <c r="A20" t="s">
        <v>590</v>
      </c>
      <c r="B20" s="4">
        <v>52.1304</v>
      </c>
      <c r="C20" s="2">
        <v>10587</v>
      </c>
      <c r="D20" s="2">
        <v>11930</v>
      </c>
      <c r="E20" s="2">
        <v>2400</v>
      </c>
      <c r="F20" s="2">
        <v>3087</v>
      </c>
      <c r="G20" s="2">
        <v>2400</v>
      </c>
      <c r="H20" s="2">
        <v>2507</v>
      </c>
      <c r="I20" s="2">
        <v>2276</v>
      </c>
      <c r="J20" s="2">
        <v>4770</v>
      </c>
      <c r="K20" s="2"/>
      <c r="L20" s="2"/>
      <c r="M20" s="2"/>
      <c r="N20" s="2"/>
      <c r="O20" s="2">
        <f t="shared" si="1"/>
        <v>0</v>
      </c>
      <c r="P20" s="2"/>
      <c r="Q20" s="2"/>
      <c r="R20" s="2"/>
      <c r="S20" s="2"/>
      <c r="T20" s="75" t="e">
        <f>(S20-P20)/P20</f>
        <v>#DIV/0!</v>
      </c>
      <c r="U20" t="s">
        <v>678</v>
      </c>
    </row>
    <row r="21" spans="1:20" ht="12.75">
      <c r="A21" t="s">
        <v>198</v>
      </c>
      <c r="B21" s="4">
        <v>52.1318</v>
      </c>
      <c r="C21" s="2">
        <v>2730</v>
      </c>
      <c r="D21" s="2">
        <v>1567</v>
      </c>
      <c r="E21" s="2">
        <v>2447</v>
      </c>
      <c r="F21" s="2">
        <v>5488</v>
      </c>
      <c r="G21" s="2">
        <v>3539</v>
      </c>
      <c r="H21" s="2">
        <v>3940</v>
      </c>
      <c r="I21" s="2">
        <v>3551</v>
      </c>
      <c r="J21" s="2">
        <v>5089</v>
      </c>
      <c r="K21" s="2">
        <v>3997</v>
      </c>
      <c r="L21" s="2">
        <v>2736</v>
      </c>
      <c r="M21" s="2">
        <v>1434</v>
      </c>
      <c r="N21" s="2">
        <v>726</v>
      </c>
      <c r="O21" s="2">
        <f t="shared" si="1"/>
        <v>871.1999999999999</v>
      </c>
      <c r="P21" s="2">
        <v>2800</v>
      </c>
      <c r="Q21" s="2">
        <v>3000</v>
      </c>
      <c r="R21" s="2">
        <v>2800</v>
      </c>
      <c r="S21" s="2">
        <v>2800</v>
      </c>
      <c r="T21" s="75">
        <f>(S21-P21)/P21</f>
        <v>0</v>
      </c>
    </row>
    <row r="22" spans="1:20" ht="12.75">
      <c r="A22" t="s">
        <v>657</v>
      </c>
      <c r="B22" s="4">
        <v>52.1321</v>
      </c>
      <c r="C22" s="2"/>
      <c r="D22" s="2"/>
      <c r="E22" s="2"/>
      <c r="F22" s="2"/>
      <c r="G22" s="2"/>
      <c r="H22" s="2"/>
      <c r="I22" s="2"/>
      <c r="J22" s="2">
        <v>125</v>
      </c>
      <c r="K22" s="2">
        <v>123</v>
      </c>
      <c r="L22" s="2">
        <v>105</v>
      </c>
      <c r="M22" s="2"/>
      <c r="N22" s="2">
        <v>0</v>
      </c>
      <c r="O22" s="2">
        <v>150</v>
      </c>
      <c r="P22" s="2">
        <v>150</v>
      </c>
      <c r="Q22" s="2">
        <v>300</v>
      </c>
      <c r="R22" s="2">
        <v>150</v>
      </c>
      <c r="S22" s="2">
        <v>150</v>
      </c>
      <c r="T22" s="75"/>
    </row>
    <row r="23" spans="1:20" ht="12.75">
      <c r="A23" t="s">
        <v>658</v>
      </c>
      <c r="B23" s="4">
        <v>52.2201</v>
      </c>
      <c r="C23" s="2"/>
      <c r="D23" s="2"/>
      <c r="E23" s="2"/>
      <c r="F23" s="2"/>
      <c r="G23" s="2"/>
      <c r="H23" s="2"/>
      <c r="I23" s="2"/>
      <c r="J23" s="2">
        <v>160</v>
      </c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136</v>
      </c>
      <c r="B24" s="4">
        <v>52.2204</v>
      </c>
      <c r="C24" s="2"/>
      <c r="D24" s="2"/>
      <c r="E24" s="2">
        <v>1276</v>
      </c>
      <c r="F24" s="2">
        <v>577</v>
      </c>
      <c r="G24" s="2">
        <v>1588</v>
      </c>
      <c r="H24" s="2">
        <v>2360</v>
      </c>
      <c r="I24" s="2">
        <v>555</v>
      </c>
      <c r="J24" s="2">
        <f>89+990</f>
        <v>1079</v>
      </c>
      <c r="K24" s="2">
        <v>1097</v>
      </c>
      <c r="L24" s="2">
        <v>1079</v>
      </c>
      <c r="M24" s="2">
        <v>1147</v>
      </c>
      <c r="N24" s="2">
        <v>950</v>
      </c>
      <c r="O24" s="2">
        <f t="shared" si="1"/>
        <v>1140</v>
      </c>
      <c r="P24" s="2">
        <v>1140</v>
      </c>
      <c r="Q24" s="2">
        <v>1200</v>
      </c>
      <c r="R24" s="2">
        <v>1140</v>
      </c>
      <c r="S24" s="2">
        <v>1140</v>
      </c>
      <c r="T24" s="75">
        <f>(S24-P24)/P24</f>
        <v>0</v>
      </c>
    </row>
    <row r="25" spans="1:20" ht="12.75">
      <c r="A25" t="s">
        <v>159</v>
      </c>
      <c r="B25" s="4">
        <v>52.2206</v>
      </c>
      <c r="C25" s="2">
        <v>6786</v>
      </c>
      <c r="D25" s="2">
        <v>2513</v>
      </c>
      <c r="E25" s="2">
        <v>5492</v>
      </c>
      <c r="F25" s="2">
        <v>2492</v>
      </c>
      <c r="G25" s="2">
        <v>1704</v>
      </c>
      <c r="H25" s="2">
        <v>2048</v>
      </c>
      <c r="I25" s="2">
        <v>2230</v>
      </c>
      <c r="J25" s="2">
        <v>1120</v>
      </c>
      <c r="K25" s="2">
        <v>4326</v>
      </c>
      <c r="L25" s="2">
        <f>3490+155</f>
        <v>3645</v>
      </c>
      <c r="M25" s="2">
        <v>3341</v>
      </c>
      <c r="N25" s="2">
        <v>5707</v>
      </c>
      <c r="O25" s="2">
        <f t="shared" si="1"/>
        <v>6848.400000000001</v>
      </c>
      <c r="P25" s="2">
        <v>4000</v>
      </c>
      <c r="Q25" s="2">
        <v>5400</v>
      </c>
      <c r="R25" s="2">
        <v>4500</v>
      </c>
      <c r="S25" s="2">
        <v>4500</v>
      </c>
      <c r="T25" s="75">
        <f>(S25-P25)/P25</f>
        <v>0.125</v>
      </c>
    </row>
    <row r="26" spans="1:20" ht="12.75" hidden="1">
      <c r="A26" t="s">
        <v>199</v>
      </c>
      <c r="B26" s="4">
        <v>52.2322</v>
      </c>
      <c r="C26" s="2"/>
      <c r="D26" s="2"/>
      <c r="E26" s="2">
        <v>2000</v>
      </c>
      <c r="F26" s="2">
        <v>2400</v>
      </c>
      <c r="G26" s="2">
        <v>2400</v>
      </c>
      <c r="H26" s="2">
        <v>2200</v>
      </c>
      <c r="I26" s="2">
        <v>1404</v>
      </c>
      <c r="J26" s="2"/>
      <c r="K26" s="2"/>
      <c r="L26" s="2"/>
      <c r="M26" s="2"/>
      <c r="N26" s="2"/>
      <c r="O26" s="2">
        <f t="shared" si="1"/>
        <v>0</v>
      </c>
      <c r="P26" s="2"/>
      <c r="Q26" s="2"/>
      <c r="R26" s="2"/>
      <c r="S26" s="2"/>
      <c r="T26" s="75"/>
    </row>
    <row r="27" spans="1:20" ht="12.75">
      <c r="A27" t="s">
        <v>115</v>
      </c>
      <c r="B27" s="4">
        <v>52.32</v>
      </c>
      <c r="C27" s="2">
        <v>16546</v>
      </c>
      <c r="D27" s="2">
        <v>12012</v>
      </c>
      <c r="E27" s="2">
        <v>12432</v>
      </c>
      <c r="F27" s="2">
        <v>15273</v>
      </c>
      <c r="G27" s="2">
        <v>14737</v>
      </c>
      <c r="H27" s="2">
        <v>18057</v>
      </c>
      <c r="I27" s="2">
        <v>17768</v>
      </c>
      <c r="J27" s="2">
        <v>19216</v>
      </c>
      <c r="K27" s="2">
        <v>21272</v>
      </c>
      <c r="L27" s="2">
        <v>20872</v>
      </c>
      <c r="M27" s="2">
        <v>19514</v>
      </c>
      <c r="N27" s="2">
        <v>15598</v>
      </c>
      <c r="O27" s="2">
        <f t="shared" si="1"/>
        <v>18717.6</v>
      </c>
      <c r="P27" s="2">
        <v>20000</v>
      </c>
      <c r="Q27" s="2">
        <v>20000</v>
      </c>
      <c r="R27" s="2">
        <v>20000</v>
      </c>
      <c r="S27" s="2">
        <v>20000</v>
      </c>
      <c r="T27" s="75">
        <f>(S27-P27)/P27</f>
        <v>0</v>
      </c>
    </row>
    <row r="28" spans="1:20" ht="12.75">
      <c r="A28" t="s">
        <v>116</v>
      </c>
      <c r="B28" s="4">
        <v>52.321</v>
      </c>
      <c r="C28" s="2">
        <v>645</v>
      </c>
      <c r="D28" s="2">
        <v>781</v>
      </c>
      <c r="E28" s="2">
        <v>821</v>
      </c>
      <c r="F28" s="2">
        <v>949</v>
      </c>
      <c r="G28" s="2">
        <v>999</v>
      </c>
      <c r="H28" s="2">
        <v>1241</v>
      </c>
      <c r="I28" s="2">
        <v>1241</v>
      </c>
      <c r="J28" s="2">
        <v>957</v>
      </c>
      <c r="K28" s="2">
        <v>1061</v>
      </c>
      <c r="L28" s="2">
        <f>412+37</f>
        <v>449</v>
      </c>
      <c r="M28" s="2">
        <v>678</v>
      </c>
      <c r="N28" s="2">
        <v>640</v>
      </c>
      <c r="O28" s="2">
        <f t="shared" si="1"/>
        <v>768</v>
      </c>
      <c r="P28" s="2">
        <v>800</v>
      </c>
      <c r="Q28" s="2">
        <v>1600</v>
      </c>
      <c r="R28" s="2">
        <v>800</v>
      </c>
      <c r="S28" s="2">
        <v>800</v>
      </c>
      <c r="T28" s="75">
        <f>(S28-P28)/P28</f>
        <v>0</v>
      </c>
    </row>
    <row r="29" spans="1:21" ht="12.75" hidden="1">
      <c r="A29" t="s">
        <v>200</v>
      </c>
      <c r="B29" s="4">
        <v>52.322</v>
      </c>
      <c r="C29" s="2"/>
      <c r="D29" s="2"/>
      <c r="E29" s="2">
        <v>16</v>
      </c>
      <c r="F29" s="2">
        <v>300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  <c r="U29" s="10"/>
    </row>
    <row r="30" spans="1:20" ht="12.75">
      <c r="A30" t="s">
        <v>137</v>
      </c>
      <c r="B30" s="4">
        <v>52.33</v>
      </c>
      <c r="C30" s="2"/>
      <c r="D30" s="2"/>
      <c r="E30" s="2">
        <v>100</v>
      </c>
      <c r="F30" s="2">
        <v>395</v>
      </c>
      <c r="G30" s="2">
        <v>156</v>
      </c>
      <c r="H30" s="2">
        <v>79</v>
      </c>
      <c r="I30" s="2">
        <v>280</v>
      </c>
      <c r="J30" s="2">
        <v>57</v>
      </c>
      <c r="K30" s="2">
        <v>130</v>
      </c>
      <c r="L30" s="2"/>
      <c r="M30" s="2">
        <v>10</v>
      </c>
      <c r="N30" s="2"/>
      <c r="O30" s="2">
        <f t="shared" si="1"/>
        <v>0</v>
      </c>
      <c r="P30" s="2">
        <v>100</v>
      </c>
      <c r="Q30" s="2">
        <v>100</v>
      </c>
      <c r="R30" s="2">
        <v>100</v>
      </c>
      <c r="S30" s="2">
        <v>100</v>
      </c>
      <c r="T30" s="75">
        <f>(S30-P30)/P30</f>
        <v>0</v>
      </c>
    </row>
    <row r="31" spans="1:20" ht="12.75">
      <c r="A31" t="s">
        <v>128</v>
      </c>
      <c r="B31" s="4">
        <v>52.35</v>
      </c>
      <c r="C31" s="2">
        <v>4587</v>
      </c>
      <c r="D31" s="2">
        <v>4837</v>
      </c>
      <c r="E31" s="2">
        <v>1734</v>
      </c>
      <c r="F31" s="2">
        <v>1714</v>
      </c>
      <c r="G31" s="2">
        <v>1540</v>
      </c>
      <c r="H31" s="2">
        <v>3528</v>
      </c>
      <c r="I31" s="2">
        <v>2090</v>
      </c>
      <c r="J31" s="2">
        <v>1100</v>
      </c>
      <c r="K31" s="2">
        <v>1726</v>
      </c>
      <c r="L31" s="2">
        <f>2445-162</f>
        <v>2283</v>
      </c>
      <c r="M31" s="2">
        <v>825</v>
      </c>
      <c r="N31" s="2">
        <v>303</v>
      </c>
      <c r="O31" s="2">
        <v>2000</v>
      </c>
      <c r="P31" s="2">
        <v>2000</v>
      </c>
      <c r="Q31" s="2">
        <v>2000</v>
      </c>
      <c r="R31" s="2">
        <v>2000</v>
      </c>
      <c r="S31" s="2">
        <v>2000</v>
      </c>
      <c r="T31" s="75">
        <f>(S31-P31)/P31</f>
        <v>0</v>
      </c>
    </row>
    <row r="32" spans="1:20" ht="12.75">
      <c r="A32" t="s">
        <v>118</v>
      </c>
      <c r="B32" s="4">
        <v>52.3602</v>
      </c>
      <c r="C32" s="2">
        <v>750</v>
      </c>
      <c r="D32" s="2">
        <v>750</v>
      </c>
      <c r="E32" s="2">
        <v>750</v>
      </c>
      <c r="F32" s="2">
        <v>500</v>
      </c>
      <c r="G32" s="2">
        <v>920</v>
      </c>
      <c r="H32" s="2">
        <v>600</v>
      </c>
      <c r="I32" s="2">
        <v>950</v>
      </c>
      <c r="J32" s="2">
        <v>950</v>
      </c>
      <c r="K32" s="2">
        <v>1055</v>
      </c>
      <c r="L32" s="2">
        <v>1091</v>
      </c>
      <c r="M32" s="2">
        <v>1431</v>
      </c>
      <c r="N32" s="2">
        <v>1025</v>
      </c>
      <c r="O32" s="2">
        <f t="shared" si="1"/>
        <v>1230</v>
      </c>
      <c r="P32" s="2">
        <v>1000</v>
      </c>
      <c r="Q32" s="2">
        <v>1000</v>
      </c>
      <c r="R32" s="2">
        <v>1000</v>
      </c>
      <c r="S32" s="2">
        <v>1000</v>
      </c>
      <c r="T32" s="75"/>
    </row>
    <row r="33" spans="1:20" ht="12.75">
      <c r="A33" t="s">
        <v>129</v>
      </c>
      <c r="B33" s="4">
        <v>52.37</v>
      </c>
      <c r="C33" s="2"/>
      <c r="D33" s="2"/>
      <c r="E33" s="2">
        <v>75</v>
      </c>
      <c r="F33" s="2">
        <v>459</v>
      </c>
      <c r="G33" s="2">
        <v>759</v>
      </c>
      <c r="H33" s="2">
        <v>550</v>
      </c>
      <c r="I33" s="2"/>
      <c r="J33" s="2"/>
      <c r="K33" s="2">
        <v>1519</v>
      </c>
      <c r="L33" s="2">
        <v>51</v>
      </c>
      <c r="M33" s="2">
        <v>439</v>
      </c>
      <c r="N33" s="2">
        <v>304</v>
      </c>
      <c r="O33" s="2">
        <v>1500</v>
      </c>
      <c r="P33" s="2">
        <v>2000</v>
      </c>
      <c r="Q33" s="2">
        <v>2000</v>
      </c>
      <c r="R33" s="2">
        <v>1500</v>
      </c>
      <c r="S33" s="2">
        <v>1500</v>
      </c>
      <c r="T33" s="75"/>
    </row>
    <row r="34" spans="1:20" ht="0.75" customHeight="1" hidden="1">
      <c r="A34" t="s">
        <v>568</v>
      </c>
      <c r="B34" s="4">
        <v>52.391</v>
      </c>
      <c r="C34" s="2"/>
      <c r="D34" s="2"/>
      <c r="E34" s="2"/>
      <c r="F34" s="2"/>
      <c r="G34" s="2"/>
      <c r="H34" s="2"/>
      <c r="I34" s="2">
        <v>3000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75"/>
    </row>
    <row r="35" spans="2:20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5"/>
    </row>
    <row r="36" spans="1:21" ht="12.75">
      <c r="A36" t="s">
        <v>928</v>
      </c>
      <c r="B36" s="4">
        <v>53.12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2921</v>
      </c>
      <c r="O36" s="2">
        <v>6000</v>
      </c>
      <c r="P36" s="2"/>
      <c r="Q36" s="2">
        <v>20000</v>
      </c>
      <c r="R36" s="2">
        <v>20000</v>
      </c>
      <c r="S36" s="2">
        <v>20000</v>
      </c>
      <c r="T36" s="75"/>
      <c r="U36" t="s">
        <v>984</v>
      </c>
    </row>
    <row r="37" spans="1:20" ht="12.75">
      <c r="A37" t="s">
        <v>148</v>
      </c>
      <c r="B37" s="4">
        <v>53.1704</v>
      </c>
      <c r="C37" s="2">
        <v>5731</v>
      </c>
      <c r="D37" s="2">
        <v>4997</v>
      </c>
      <c r="E37" s="2">
        <v>3077</v>
      </c>
      <c r="F37" s="2">
        <v>1402</v>
      </c>
      <c r="G37" s="2">
        <v>1576</v>
      </c>
      <c r="H37" s="2">
        <v>1398</v>
      </c>
      <c r="I37" s="2">
        <v>673</v>
      </c>
      <c r="J37" s="2">
        <v>544</v>
      </c>
      <c r="K37" s="2">
        <v>955</v>
      </c>
      <c r="L37" s="2">
        <f>659+32</f>
        <v>691</v>
      </c>
      <c r="M37" s="2">
        <v>830</v>
      </c>
      <c r="N37" s="2">
        <v>505</v>
      </c>
      <c r="O37" s="2">
        <f t="shared" si="1"/>
        <v>606</v>
      </c>
      <c r="P37" s="2">
        <v>600</v>
      </c>
      <c r="Q37" s="2">
        <v>1000</v>
      </c>
      <c r="R37" s="2">
        <v>600</v>
      </c>
      <c r="S37" s="2">
        <v>600</v>
      </c>
      <c r="T37" s="75">
        <f>(S37-P37)/P37</f>
        <v>0</v>
      </c>
    </row>
    <row r="38" spans="1:20" ht="12.75">
      <c r="A38" t="s">
        <v>123</v>
      </c>
      <c r="B38" s="4">
        <v>53.171</v>
      </c>
      <c r="C38" s="2">
        <v>7597</v>
      </c>
      <c r="D38" s="2">
        <v>5650</v>
      </c>
      <c r="E38" s="2">
        <v>8583</v>
      </c>
      <c r="F38" s="2">
        <v>7252</v>
      </c>
      <c r="G38" s="2">
        <v>6798</v>
      </c>
      <c r="H38" s="2">
        <v>6963</v>
      </c>
      <c r="I38" s="2">
        <f>7080+266</f>
        <v>7346</v>
      </c>
      <c r="J38" s="2">
        <v>9041</v>
      </c>
      <c r="K38" s="2">
        <v>8227</v>
      </c>
      <c r="L38" s="2">
        <v>9839</v>
      </c>
      <c r="M38" s="2">
        <v>8647</v>
      </c>
      <c r="N38" s="2">
        <v>6874</v>
      </c>
      <c r="O38" s="2">
        <f t="shared" si="1"/>
        <v>8248.8</v>
      </c>
      <c r="P38" s="2">
        <v>9500</v>
      </c>
      <c r="Q38" s="2">
        <v>10500</v>
      </c>
      <c r="R38" s="2">
        <v>9000</v>
      </c>
      <c r="S38" s="2">
        <v>9000</v>
      </c>
      <c r="T38" s="75">
        <f>(S38-P38)/P38</f>
        <v>-0.05263157894736842</v>
      </c>
    </row>
    <row r="39" spans="1:20" s="6" customFormat="1" ht="12.75">
      <c r="A39" s="30" t="s">
        <v>645</v>
      </c>
      <c r="B39" s="31">
        <v>53.1715</v>
      </c>
      <c r="C39" s="13"/>
      <c r="D39" s="13"/>
      <c r="E39" s="13"/>
      <c r="F39" s="19">
        <v>300</v>
      </c>
      <c r="G39" s="19">
        <v>1382</v>
      </c>
      <c r="H39" s="19">
        <v>1173</v>
      </c>
      <c r="I39" s="19">
        <v>1675</v>
      </c>
      <c r="J39" s="19"/>
      <c r="K39" s="19"/>
      <c r="L39" s="19">
        <v>1747</v>
      </c>
      <c r="M39" s="19">
        <v>1804</v>
      </c>
      <c r="N39" s="19">
        <v>100</v>
      </c>
      <c r="O39" s="2">
        <v>2500</v>
      </c>
      <c r="P39" s="19">
        <v>2500</v>
      </c>
      <c r="Q39" s="19">
        <v>3000</v>
      </c>
      <c r="R39" s="19">
        <v>2500</v>
      </c>
      <c r="S39" s="19">
        <v>2500</v>
      </c>
      <c r="T39" s="75">
        <f>(S39-P39)/P39</f>
        <v>0</v>
      </c>
    </row>
    <row r="40" spans="1:20" ht="12.75">
      <c r="A40" t="s">
        <v>348</v>
      </c>
      <c r="B40" s="4">
        <v>53.1716</v>
      </c>
      <c r="C40" s="2"/>
      <c r="D40" s="2"/>
      <c r="E40" s="2"/>
      <c r="F40" s="2"/>
      <c r="G40" s="2">
        <v>397</v>
      </c>
      <c r="H40" s="2">
        <v>18</v>
      </c>
      <c r="I40" s="2"/>
      <c r="J40" s="2"/>
      <c r="K40" s="2">
        <v>213</v>
      </c>
      <c r="L40" s="2"/>
      <c r="M40" s="2">
        <v>162</v>
      </c>
      <c r="N40" s="2"/>
      <c r="O40" s="2"/>
      <c r="P40" s="2"/>
      <c r="Q40" s="2"/>
      <c r="R40" s="2"/>
      <c r="S40" s="2"/>
      <c r="T40" s="75" t="e">
        <f>(S40-P40)/P40</f>
        <v>#DIV/0!</v>
      </c>
    </row>
    <row r="41" spans="1:20" ht="12.75" hidden="1">
      <c r="A41" t="s">
        <v>452</v>
      </c>
      <c r="B41" s="4">
        <v>53.1717</v>
      </c>
      <c r="C41" s="2"/>
      <c r="D41" s="2"/>
      <c r="E41" s="2"/>
      <c r="F41" s="2"/>
      <c r="G41" s="2">
        <v>4990</v>
      </c>
      <c r="H41" s="2"/>
      <c r="I41" s="2"/>
      <c r="J41" s="2"/>
      <c r="K41" s="2"/>
      <c r="L41" s="2"/>
      <c r="M41" s="2"/>
      <c r="N41" s="2"/>
      <c r="O41" s="2">
        <f t="shared" si="1"/>
        <v>0</v>
      </c>
      <c r="P41" s="2"/>
      <c r="Q41" s="2"/>
      <c r="R41" s="2"/>
      <c r="S41" s="2"/>
      <c r="T41" s="75"/>
    </row>
    <row r="42" spans="1:20" ht="12.75">
      <c r="A42" t="s">
        <v>201</v>
      </c>
      <c r="B42" s="4">
        <v>53.173</v>
      </c>
      <c r="C42" s="2">
        <v>9079</v>
      </c>
      <c r="D42" s="2">
        <v>9195</v>
      </c>
      <c r="E42" s="2">
        <v>9885</v>
      </c>
      <c r="F42" s="2">
        <v>9603</v>
      </c>
      <c r="G42" s="2">
        <v>11008</v>
      </c>
      <c r="H42" s="2">
        <v>9135</v>
      </c>
      <c r="I42" s="2">
        <v>10185</v>
      </c>
      <c r="J42" s="2">
        <v>10840</v>
      </c>
      <c r="K42" s="2">
        <v>10238</v>
      </c>
      <c r="L42" s="2">
        <f>9643+2</f>
        <v>9645</v>
      </c>
      <c r="M42" s="2">
        <v>9512</v>
      </c>
      <c r="N42" s="2">
        <v>9240</v>
      </c>
      <c r="O42" s="2">
        <v>10000</v>
      </c>
      <c r="P42" s="2">
        <v>10000</v>
      </c>
      <c r="Q42" s="2">
        <v>10000</v>
      </c>
      <c r="R42" s="2">
        <v>10000</v>
      </c>
      <c r="S42" s="2">
        <v>10000</v>
      </c>
      <c r="T42" s="75">
        <f aca="true" t="shared" si="2" ref="T42:T47">(S42-P42)/P42</f>
        <v>0</v>
      </c>
    </row>
    <row r="43" spans="1:20" ht="12.75">
      <c r="A43" t="s">
        <v>162</v>
      </c>
      <c r="B43" s="4">
        <v>53.175</v>
      </c>
      <c r="C43" s="2">
        <v>16674</v>
      </c>
      <c r="D43" s="2">
        <v>20446</v>
      </c>
      <c r="E43" s="2">
        <v>21748</v>
      </c>
      <c r="F43" s="2">
        <v>19035</v>
      </c>
      <c r="G43" s="2">
        <v>18640</v>
      </c>
      <c r="H43" s="2">
        <v>17535</v>
      </c>
      <c r="I43" s="2">
        <v>13704</v>
      </c>
      <c r="J43" s="2">
        <v>25205</v>
      </c>
      <c r="K43" s="2">
        <f>22462+32</f>
        <v>22494</v>
      </c>
      <c r="L43" s="2">
        <v>11529</v>
      </c>
      <c r="M43" s="2">
        <v>23295</v>
      </c>
      <c r="N43" s="2">
        <v>11060</v>
      </c>
      <c r="O43" s="2">
        <f t="shared" si="1"/>
        <v>13272</v>
      </c>
      <c r="P43" s="2">
        <v>18000</v>
      </c>
      <c r="Q43" s="2">
        <v>18000</v>
      </c>
      <c r="R43" s="2">
        <v>18000</v>
      </c>
      <c r="S43" s="2">
        <v>13000</v>
      </c>
      <c r="T43" s="75">
        <f t="shared" si="2"/>
        <v>-0.2777777777777778</v>
      </c>
    </row>
    <row r="44" spans="1:20" ht="12.75">
      <c r="A44" t="s">
        <v>151</v>
      </c>
      <c r="B44" s="4">
        <v>53.176</v>
      </c>
      <c r="C44" s="2">
        <v>1456</v>
      </c>
      <c r="D44" s="2">
        <v>1476</v>
      </c>
      <c r="E44" s="2">
        <v>2211</v>
      </c>
      <c r="F44" s="2">
        <v>1819</v>
      </c>
      <c r="G44" s="2">
        <v>1923</v>
      </c>
      <c r="H44" s="2">
        <v>2001</v>
      </c>
      <c r="I44" s="2">
        <v>2046</v>
      </c>
      <c r="J44" s="2">
        <v>2218</v>
      </c>
      <c r="K44" s="2">
        <v>2428</v>
      </c>
      <c r="L44" s="2">
        <v>2795</v>
      </c>
      <c r="M44" s="2">
        <v>2389</v>
      </c>
      <c r="N44" s="2">
        <v>1677</v>
      </c>
      <c r="O44" s="2">
        <f t="shared" si="1"/>
        <v>2012.3999999999999</v>
      </c>
      <c r="P44" s="2">
        <v>2500</v>
      </c>
      <c r="Q44" s="2">
        <v>3000</v>
      </c>
      <c r="R44" s="2">
        <v>2500</v>
      </c>
      <c r="S44" s="2">
        <v>2500</v>
      </c>
      <c r="T44" s="75">
        <f t="shared" si="2"/>
        <v>0</v>
      </c>
    </row>
    <row r="45" spans="1:20" ht="12.75">
      <c r="A45" t="s">
        <v>152</v>
      </c>
      <c r="B45" s="4">
        <v>53.177</v>
      </c>
      <c r="C45" s="2">
        <v>5794</v>
      </c>
      <c r="D45" s="2">
        <v>6473</v>
      </c>
      <c r="E45" s="2">
        <v>5618</v>
      </c>
      <c r="F45" s="2">
        <v>7543</v>
      </c>
      <c r="G45" s="2">
        <v>6896</v>
      </c>
      <c r="H45" s="2">
        <v>5663</v>
      </c>
      <c r="I45" s="2">
        <v>6511</v>
      </c>
      <c r="J45" s="2">
        <v>8338</v>
      </c>
      <c r="K45" s="2">
        <v>7056</v>
      </c>
      <c r="L45" s="2">
        <v>6654</v>
      </c>
      <c r="M45" s="2">
        <v>10278</v>
      </c>
      <c r="N45" s="2">
        <v>10379</v>
      </c>
      <c r="O45" s="2">
        <f t="shared" si="1"/>
        <v>12454.800000000001</v>
      </c>
      <c r="P45" s="2">
        <v>7500</v>
      </c>
      <c r="Q45" s="2">
        <v>8500</v>
      </c>
      <c r="R45" s="2">
        <v>8500</v>
      </c>
      <c r="S45" s="2">
        <v>8500</v>
      </c>
      <c r="T45" s="75">
        <f t="shared" si="2"/>
        <v>0.13333333333333333</v>
      </c>
    </row>
    <row r="46" spans="1:20" ht="12.75">
      <c r="A46" t="s">
        <v>165</v>
      </c>
      <c r="B46" s="4">
        <v>53.178</v>
      </c>
      <c r="C46" s="2">
        <v>958</v>
      </c>
      <c r="D46" s="2">
        <v>957</v>
      </c>
      <c r="E46" s="2">
        <v>248</v>
      </c>
      <c r="F46" s="2">
        <v>594</v>
      </c>
      <c r="G46" s="2">
        <v>736</v>
      </c>
      <c r="H46" s="2">
        <v>200</v>
      </c>
      <c r="I46" s="2">
        <v>814</v>
      </c>
      <c r="J46" s="2">
        <v>1077</v>
      </c>
      <c r="K46" s="2">
        <v>1172</v>
      </c>
      <c r="L46" s="2">
        <v>699</v>
      </c>
      <c r="M46" s="2">
        <v>489</v>
      </c>
      <c r="N46" s="2">
        <v>1095</v>
      </c>
      <c r="O46" s="2">
        <f t="shared" si="1"/>
        <v>1314</v>
      </c>
      <c r="P46" s="2">
        <v>800</v>
      </c>
      <c r="Q46" s="2">
        <v>1200</v>
      </c>
      <c r="R46" s="2">
        <v>1200</v>
      </c>
      <c r="S46" s="2">
        <v>1200</v>
      </c>
      <c r="T46" s="75">
        <f t="shared" si="2"/>
        <v>0.5</v>
      </c>
    </row>
    <row r="47" spans="1:20" ht="12.75">
      <c r="A47" t="s">
        <v>153</v>
      </c>
      <c r="B47" s="4">
        <v>53.179</v>
      </c>
      <c r="C47" s="2">
        <v>25195</v>
      </c>
      <c r="D47" s="2">
        <v>38649</v>
      </c>
      <c r="E47" s="2">
        <v>40045</v>
      </c>
      <c r="F47" s="2">
        <v>33000</v>
      </c>
      <c r="G47" s="2">
        <v>45528</v>
      </c>
      <c r="H47" s="2">
        <v>54682</v>
      </c>
      <c r="I47" s="2">
        <v>78539</v>
      </c>
      <c r="J47" s="2">
        <v>102493</v>
      </c>
      <c r="K47" s="2">
        <f>96616+109</f>
        <v>96725</v>
      </c>
      <c r="L47" s="2">
        <f>137805+55</f>
        <v>137860</v>
      </c>
      <c r="M47" s="2">
        <v>88871</v>
      </c>
      <c r="N47" s="2">
        <v>79108</v>
      </c>
      <c r="O47" s="2">
        <f t="shared" si="1"/>
        <v>94929.6</v>
      </c>
      <c r="P47" s="2">
        <v>100000</v>
      </c>
      <c r="Q47" s="2">
        <v>125000</v>
      </c>
      <c r="R47" s="2">
        <v>100000</v>
      </c>
      <c r="S47" s="2">
        <v>95000</v>
      </c>
      <c r="T47" s="75">
        <f t="shared" si="2"/>
        <v>-0.05</v>
      </c>
    </row>
    <row r="48" spans="2:20" ht="11.25" customHeight="1" hidden="1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25</v>
      </c>
      <c r="N48" s="2"/>
      <c r="O48" s="2">
        <f t="shared" si="1"/>
        <v>0</v>
      </c>
      <c r="P48" s="2"/>
      <c r="Q48" s="2"/>
      <c r="R48" s="2"/>
      <c r="S48" s="2"/>
      <c r="T48" s="75"/>
    </row>
    <row r="49" spans="1:20" ht="12.75" hidden="1">
      <c r="A49" t="s">
        <v>28</v>
      </c>
      <c r="B49" s="4">
        <v>54.2203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0</v>
      </c>
      <c r="O49" s="2"/>
      <c r="P49" s="2"/>
      <c r="Q49" s="2"/>
      <c r="R49" s="2"/>
      <c r="S49" s="2"/>
      <c r="T49" s="75"/>
    </row>
    <row r="50" spans="2:20" ht="12.75"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75"/>
    </row>
    <row r="51" spans="1:20" ht="12.75">
      <c r="A51" t="s">
        <v>215</v>
      </c>
      <c r="B51" s="4">
        <v>53.18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992</v>
      </c>
      <c r="O51" s="2">
        <v>1000</v>
      </c>
      <c r="P51" s="2"/>
      <c r="Q51" s="2">
        <v>1000</v>
      </c>
      <c r="R51" s="2">
        <v>1000</v>
      </c>
      <c r="S51" s="2">
        <v>1000</v>
      </c>
      <c r="T51" s="75"/>
    </row>
    <row r="52" spans="1:22" ht="12.75">
      <c r="A52" t="s">
        <v>202</v>
      </c>
      <c r="B52" s="4">
        <v>54.22</v>
      </c>
      <c r="C52" s="2"/>
      <c r="D52" s="2">
        <v>58216</v>
      </c>
      <c r="E52" s="2">
        <v>61325</v>
      </c>
      <c r="F52" s="2">
        <v>46045</v>
      </c>
      <c r="G52" s="2">
        <v>158849</v>
      </c>
      <c r="H52" s="2">
        <v>92453</v>
      </c>
      <c r="I52" s="2">
        <v>78800</v>
      </c>
      <c r="J52" s="2">
        <v>74113</v>
      </c>
      <c r="K52" s="2">
        <f>95821+12539</f>
        <v>108360</v>
      </c>
      <c r="L52" s="2">
        <v>-9824</v>
      </c>
      <c r="M52" s="2"/>
      <c r="N52" s="2">
        <f>15760+36134</f>
        <v>51894</v>
      </c>
      <c r="O52" s="2">
        <v>16000</v>
      </c>
      <c r="P52" s="2">
        <v>16000</v>
      </c>
      <c r="Q52" s="19">
        <v>86000</v>
      </c>
      <c r="R52" s="19">
        <v>86000</v>
      </c>
      <c r="S52" s="19">
        <v>20000</v>
      </c>
      <c r="T52" s="75">
        <f>(S52-P52)/P52</f>
        <v>0.25</v>
      </c>
      <c r="U52" s="2" t="s">
        <v>464</v>
      </c>
      <c r="V52" s="6"/>
    </row>
    <row r="53" spans="1:20" ht="12.75">
      <c r="A53" t="s">
        <v>203</v>
      </c>
      <c r="B53" s="4">
        <v>54.24</v>
      </c>
      <c r="C53" s="2"/>
      <c r="D53" s="2"/>
      <c r="E53" s="2">
        <v>905</v>
      </c>
      <c r="F53" s="2"/>
      <c r="G53" s="2"/>
      <c r="H53" s="2">
        <v>2400</v>
      </c>
      <c r="I53" s="2">
        <v>1684</v>
      </c>
      <c r="J53" s="2">
        <v>638</v>
      </c>
      <c r="K53" s="2">
        <v>195</v>
      </c>
      <c r="L53" s="2">
        <v>237</v>
      </c>
      <c r="M53" s="2"/>
      <c r="N53" s="2"/>
      <c r="O53" s="2"/>
      <c r="P53" s="2"/>
      <c r="Q53" s="2"/>
      <c r="R53" s="2"/>
      <c r="S53" s="2"/>
      <c r="T53" s="75"/>
    </row>
    <row r="54" spans="1:20" ht="12.75">
      <c r="A54" t="s">
        <v>346</v>
      </c>
      <c r="B54" s="4">
        <v>54.25</v>
      </c>
      <c r="E54" s="2">
        <v>6351</v>
      </c>
      <c r="F54" s="2"/>
      <c r="G54" s="2">
        <v>6325</v>
      </c>
      <c r="H54" s="2"/>
      <c r="I54" s="2"/>
      <c r="J54" s="2"/>
      <c r="K54" s="2"/>
      <c r="L54" s="2">
        <v>3776</v>
      </c>
      <c r="M54" s="2"/>
      <c r="N54" s="2"/>
      <c r="P54" s="2"/>
      <c r="Q54" s="2"/>
      <c r="R54" s="2"/>
      <c r="S54" s="2"/>
      <c r="T54" s="75"/>
    </row>
    <row r="55" spans="1:21" ht="12.75">
      <c r="A55" t="s">
        <v>349</v>
      </c>
      <c r="B55" s="4">
        <v>54.255</v>
      </c>
      <c r="E55" s="2"/>
      <c r="F55" s="2"/>
      <c r="G55" s="2">
        <v>9661</v>
      </c>
      <c r="H55" s="2">
        <v>2903</v>
      </c>
      <c r="I55" s="2">
        <v>4533</v>
      </c>
      <c r="J55" s="2">
        <v>66</v>
      </c>
      <c r="K55" s="2">
        <v>273</v>
      </c>
      <c r="L55" s="2"/>
      <c r="M55" s="2">
        <v>4141</v>
      </c>
      <c r="N55" s="2">
        <v>2644</v>
      </c>
      <c r="O55" s="2">
        <v>4100</v>
      </c>
      <c r="P55" s="19">
        <v>4100</v>
      </c>
      <c r="Q55" s="2"/>
      <c r="R55" s="2"/>
      <c r="S55" s="2"/>
      <c r="T55" s="75"/>
      <c r="U55" t="s">
        <v>931</v>
      </c>
    </row>
    <row r="56" spans="1:20" ht="12.75">
      <c r="A56" t="s">
        <v>205</v>
      </c>
      <c r="B56" s="4">
        <v>54.261</v>
      </c>
      <c r="C56" s="2"/>
      <c r="D56" s="2"/>
      <c r="E56" s="2">
        <v>8000</v>
      </c>
      <c r="F56" s="2">
        <v>456</v>
      </c>
      <c r="G56" s="2">
        <v>1001</v>
      </c>
      <c r="H56" s="2">
        <v>549</v>
      </c>
      <c r="I56" s="2"/>
      <c r="J56" s="2">
        <v>9383</v>
      </c>
      <c r="K56" s="2"/>
      <c r="L56" s="2">
        <v>1382</v>
      </c>
      <c r="M56" s="2">
        <v>13931</v>
      </c>
      <c r="N56" s="2">
        <v>283</v>
      </c>
      <c r="O56" s="2">
        <v>1200</v>
      </c>
      <c r="P56" s="2">
        <v>1200</v>
      </c>
      <c r="Q56" s="2">
        <v>1200</v>
      </c>
      <c r="R56" s="2">
        <v>1200</v>
      </c>
      <c r="S56" s="2">
        <v>1200</v>
      </c>
      <c r="T56" s="75">
        <f>(S56-P56)/P56</f>
        <v>0</v>
      </c>
    </row>
    <row r="57" spans="1:20" ht="12.75" hidden="1">
      <c r="A57" t="s">
        <v>206</v>
      </c>
      <c r="B57" s="4">
        <v>54.261</v>
      </c>
      <c r="C57" s="5"/>
      <c r="D57" s="5"/>
      <c r="E57" s="2">
        <v>4495</v>
      </c>
      <c r="F57" s="5"/>
      <c r="G57" s="5"/>
      <c r="H57" s="5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75"/>
    </row>
    <row r="58" spans="1:20" ht="12.75">
      <c r="A58" t="s">
        <v>569</v>
      </c>
      <c r="B58" s="4">
        <v>54.262</v>
      </c>
      <c r="C58" s="5"/>
      <c r="D58" s="5"/>
      <c r="E58" s="2"/>
      <c r="F58" s="5"/>
      <c r="G58" s="5"/>
      <c r="H58" s="5"/>
      <c r="I58" s="2">
        <v>1149</v>
      </c>
      <c r="J58" s="2"/>
      <c r="K58" s="2"/>
      <c r="L58" s="2">
        <v>3000</v>
      </c>
      <c r="M58" s="2"/>
      <c r="N58" s="2"/>
      <c r="O58" s="2"/>
      <c r="P58" s="2"/>
      <c r="Q58" s="2"/>
      <c r="R58" s="2"/>
      <c r="S58" s="2"/>
      <c r="T58" s="75"/>
    </row>
    <row r="59" spans="1:21" ht="11.25" customHeight="1">
      <c r="A59" t="s">
        <v>659</v>
      </c>
      <c r="B59" s="4">
        <v>54.2622</v>
      </c>
      <c r="C59" s="5"/>
      <c r="D59" s="5"/>
      <c r="E59" s="2"/>
      <c r="F59" s="5"/>
      <c r="G59" s="5"/>
      <c r="H59" s="5"/>
      <c r="I59" s="2"/>
      <c r="J59" s="2">
        <v>19635</v>
      </c>
      <c r="K59" s="2">
        <v>3000</v>
      </c>
      <c r="L59" s="2">
        <v>3000</v>
      </c>
      <c r="M59" s="2"/>
      <c r="N59" s="2">
        <v>0</v>
      </c>
      <c r="O59" s="2">
        <v>3200</v>
      </c>
      <c r="P59" s="2">
        <v>3200</v>
      </c>
      <c r="Q59" s="2"/>
      <c r="R59" s="2"/>
      <c r="S59" s="2"/>
      <c r="T59" s="75"/>
      <c r="U59" t="s">
        <v>931</v>
      </c>
    </row>
    <row r="60" spans="1:20" ht="11.25" customHeight="1" hidden="1">
      <c r="A60" t="s">
        <v>621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O60" s="2"/>
      <c r="P60" s="2"/>
      <c r="Q60" s="2"/>
      <c r="R60" s="2"/>
      <c r="S60" s="2"/>
      <c r="T60" s="75"/>
    </row>
    <row r="61" spans="1:20" ht="12.75" hidden="1">
      <c r="A61" t="s">
        <v>347</v>
      </c>
      <c r="B61" s="4">
        <v>57.109</v>
      </c>
      <c r="C61" s="5"/>
      <c r="D61" s="5"/>
      <c r="E61" s="2">
        <v>930</v>
      </c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75"/>
    </row>
    <row r="62" spans="1:21" ht="12.75" hidden="1">
      <c r="A62" t="s">
        <v>204</v>
      </c>
      <c r="B62" s="4">
        <v>57.217</v>
      </c>
      <c r="C62" s="2">
        <v>8943</v>
      </c>
      <c r="D62" s="2">
        <v>8067</v>
      </c>
      <c r="E62" s="2">
        <v>8943</v>
      </c>
      <c r="F62" s="2">
        <v>12159</v>
      </c>
      <c r="G62" s="2">
        <v>12159</v>
      </c>
      <c r="H62" s="2">
        <v>12159</v>
      </c>
      <c r="I62" s="2">
        <v>12159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75"/>
      <c r="U62" s="2"/>
    </row>
    <row r="63" spans="2:20" ht="12.7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"/>
      <c r="R63" s="2"/>
      <c r="S63" s="5"/>
      <c r="T63" s="75"/>
    </row>
    <row r="64" spans="1:20" ht="12.75">
      <c r="A64" s="6" t="s">
        <v>91</v>
      </c>
      <c r="B64" s="6"/>
      <c r="C64" s="8">
        <f aca="true" t="shared" si="3" ref="C64:I64">SUM(C7:C63)</f>
        <v>874821</v>
      </c>
      <c r="D64" s="8">
        <f t="shared" si="3"/>
        <v>975291</v>
      </c>
      <c r="E64" s="8">
        <f t="shared" si="3"/>
        <v>996230</v>
      </c>
      <c r="F64" s="8">
        <f t="shared" si="3"/>
        <v>1052328</v>
      </c>
      <c r="G64" s="8">
        <f t="shared" si="3"/>
        <v>1244997</v>
      </c>
      <c r="H64" s="8">
        <f t="shared" si="3"/>
        <v>1192747</v>
      </c>
      <c r="I64" s="8">
        <f t="shared" si="3"/>
        <v>1258971</v>
      </c>
      <c r="J64" s="8">
        <v>1447823</v>
      </c>
      <c r="K64" s="8">
        <f aca="true" t="shared" si="4" ref="K64:R64">SUM(K7:K63)</f>
        <v>1458397</v>
      </c>
      <c r="L64" s="8">
        <v>1427620</v>
      </c>
      <c r="M64" s="8">
        <v>1391328</v>
      </c>
      <c r="N64" s="8">
        <f t="shared" si="4"/>
        <v>1188772</v>
      </c>
      <c r="O64" s="8">
        <f t="shared" si="4"/>
        <v>1403039.2000000002</v>
      </c>
      <c r="P64" s="8">
        <f t="shared" si="4"/>
        <v>1492481.66278</v>
      </c>
      <c r="Q64" s="8">
        <f t="shared" si="4"/>
        <v>1659499.897015</v>
      </c>
      <c r="R64" s="8">
        <f t="shared" si="4"/>
        <v>1629339.897015</v>
      </c>
      <c r="S64" s="8">
        <f>SUM(S7:S63)</f>
        <v>1553339.897015</v>
      </c>
      <c r="T64" s="79">
        <f>(S64-P64)/P64</f>
        <v>0.0407765373288683</v>
      </c>
    </row>
    <row r="66" spans="16:18" ht="12.75">
      <c r="P66" s="20" t="s">
        <v>445</v>
      </c>
      <c r="Q66" s="20"/>
      <c r="R66" s="52">
        <f>Q64-R64</f>
        <v>30160</v>
      </c>
    </row>
    <row r="67" spans="16:18" ht="12.75">
      <c r="P67" s="20" t="s">
        <v>668</v>
      </c>
      <c r="Q67" s="20"/>
      <c r="R67" s="52">
        <f>P64-R64</f>
        <v>-136858.2342350001</v>
      </c>
    </row>
    <row r="68" spans="1:18" ht="12.75">
      <c r="A68" s="6"/>
      <c r="P68" s="20" t="s">
        <v>397</v>
      </c>
      <c r="Q68" s="20"/>
      <c r="R68" s="52">
        <f>R64-S64</f>
        <v>76000</v>
      </c>
    </row>
    <row r="69" ht="12.75">
      <c r="A69" t="s">
        <v>929</v>
      </c>
    </row>
    <row r="70" ht="12.75">
      <c r="A70" s="20" t="s">
        <v>951</v>
      </c>
    </row>
    <row r="71" ht="12.75">
      <c r="A71" s="20" t="s">
        <v>963</v>
      </c>
    </row>
    <row r="72" ht="12.75">
      <c r="A72" s="20" t="s">
        <v>967</v>
      </c>
    </row>
    <row r="79" ht="12.75">
      <c r="A79" s="6"/>
    </row>
    <row r="87" ht="12.75">
      <c r="T87" s="2"/>
    </row>
    <row r="88" ht="12.75">
      <c r="T88" s="2"/>
    </row>
    <row r="89" ht="12.75">
      <c r="T89" s="2"/>
    </row>
    <row r="90" ht="12.75">
      <c r="T90" s="2"/>
    </row>
    <row r="91" ht="12.75">
      <c r="T91" s="2"/>
    </row>
    <row r="92" ht="12.75">
      <c r="T92" s="2"/>
    </row>
    <row r="109" spans="3:1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5" r:id="rId3"/>
  <headerFooter alignWithMargins="0">
    <oddFooter>&amp;L&amp;F
&amp;A&amp;CPage &amp;P of &amp;N&amp;R&amp;D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Y96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9" width="11.7109375" style="0" hidden="1" customWidth="1"/>
    <col min="10" max="14" width="11.7109375" style="0" customWidth="1"/>
    <col min="15" max="15" width="13.421875" style="0" bestFit="1" customWidth="1"/>
    <col min="16" max="18" width="11.7109375" style="0" customWidth="1"/>
    <col min="19" max="19" width="12.00390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424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5" ht="12.75">
      <c r="A7" s="20" t="s">
        <v>604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432069.34</v>
      </c>
      <c r="M7" s="2">
        <v>440650</v>
      </c>
      <c r="N7" s="2">
        <v>346901</v>
      </c>
      <c r="O7" s="2">
        <f>+N7/$N$3*12</f>
        <v>416281.19999999995</v>
      </c>
      <c r="P7" s="2">
        <v>469950.33</v>
      </c>
      <c r="Q7" s="19">
        <v>460949</v>
      </c>
      <c r="R7" s="19">
        <v>460949</v>
      </c>
      <c r="S7" s="19">
        <v>460949</v>
      </c>
      <c r="T7" s="75">
        <f aca="true" t="shared" si="0" ref="T7:T13">(S7-P7)/P7</f>
        <v>-0.0191537901462906</v>
      </c>
      <c r="W7" s="152"/>
      <c r="X7" s="136"/>
      <c r="Y7" s="152"/>
    </row>
    <row r="8" spans="1:20" ht="12.75">
      <c r="A8" t="s">
        <v>488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130492</v>
      </c>
      <c r="M8" s="2">
        <v>129880</v>
      </c>
      <c r="N8" s="2">
        <v>125532</v>
      </c>
      <c r="O8" s="2">
        <f>+N8/$N$3*12</f>
        <v>150638.40000000002</v>
      </c>
      <c r="P8" s="2">
        <v>115000</v>
      </c>
      <c r="Q8" s="2">
        <v>115000</v>
      </c>
      <c r="R8" s="2">
        <v>115000</v>
      </c>
      <c r="S8" s="2">
        <v>115000</v>
      </c>
      <c r="T8" s="75">
        <f t="shared" si="0"/>
        <v>0</v>
      </c>
    </row>
    <row r="9" spans="1:20" ht="12.75">
      <c r="A9" t="s">
        <v>656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>
        <v>4780</v>
      </c>
      <c r="M9" s="2">
        <v>4478</v>
      </c>
      <c r="N9" s="2"/>
      <c r="O9" s="2">
        <v>5800</v>
      </c>
      <c r="P9" s="2">
        <v>5798.16</v>
      </c>
      <c r="Q9" s="2">
        <v>6600</v>
      </c>
      <c r="R9" s="2">
        <v>6600</v>
      </c>
      <c r="S9" s="2">
        <v>6600</v>
      </c>
      <c r="T9" s="75">
        <f t="shared" si="0"/>
        <v>0.13829214785380192</v>
      </c>
    </row>
    <row r="10" spans="1:20" ht="12.75">
      <c r="A10" t="s">
        <v>126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17912</v>
      </c>
      <c r="M10" s="2">
        <v>18855</v>
      </c>
      <c r="N10" s="2">
        <v>13754</v>
      </c>
      <c r="O10" s="2">
        <f>+N10/$N$3*12</f>
        <v>16504.800000000003</v>
      </c>
      <c r="P10" s="2">
        <v>20000</v>
      </c>
      <c r="Q10" s="2">
        <v>20000</v>
      </c>
      <c r="R10" s="2">
        <v>20000</v>
      </c>
      <c r="S10" s="2">
        <v>20000</v>
      </c>
      <c r="T10" s="75">
        <f t="shared" si="0"/>
        <v>0</v>
      </c>
    </row>
    <row r="11" spans="1:20" ht="12.75">
      <c r="A11" t="s">
        <v>817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68700</v>
      </c>
      <c r="M11" s="2">
        <v>72171</v>
      </c>
      <c r="N11" s="2">
        <v>57923</v>
      </c>
      <c r="O11" s="2">
        <f>+N11/$N$3*12</f>
        <v>69507.6</v>
      </c>
      <c r="P11" s="28">
        <f>16*4920</f>
        <v>78720</v>
      </c>
      <c r="Q11" s="28">
        <v>79360</v>
      </c>
      <c r="R11" s="28">
        <f>16*4960</f>
        <v>79360</v>
      </c>
      <c r="S11" s="28">
        <v>79360</v>
      </c>
      <c r="T11" s="75">
        <f t="shared" si="0"/>
        <v>0.008130081300813009</v>
      </c>
    </row>
    <row r="12" spans="1:20" ht="12.75">
      <c r="A12" t="s">
        <v>113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44414.47</v>
      </c>
      <c r="M12" s="2">
        <v>42982</v>
      </c>
      <c r="N12" s="2">
        <v>35335</v>
      </c>
      <c r="O12" s="2">
        <f>+N12/$N$3*12</f>
        <v>42402</v>
      </c>
      <c r="P12" s="2">
        <f>(P7+P8+P9+P10)*0.0765</f>
        <v>46722.25948500001</v>
      </c>
      <c r="Q12" s="19">
        <f>(Q7+Q8+Q9+Q10)*0.0765</f>
        <v>46094.9985</v>
      </c>
      <c r="R12" s="19">
        <f>(R7+R8+R9+R10)*0.0765</f>
        <v>46094.9985</v>
      </c>
      <c r="S12" s="19">
        <f>(S7+S8+S9+S10)*0.0765</f>
        <v>46094.9985</v>
      </c>
      <c r="T12" s="75">
        <f t="shared" si="0"/>
        <v>-0.01342531358530269</v>
      </c>
    </row>
    <row r="13" spans="1:20" ht="12.75">
      <c r="A13" t="s">
        <v>208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3353</v>
      </c>
      <c r="M13" s="2">
        <v>1408</v>
      </c>
      <c r="N13" s="2">
        <v>2028</v>
      </c>
      <c r="O13" s="2">
        <f>+N13/$N$3*12</f>
        <v>2433.6000000000004</v>
      </c>
      <c r="P13" s="2">
        <v>4500</v>
      </c>
      <c r="Q13" s="2">
        <v>2000</v>
      </c>
      <c r="R13" s="2">
        <v>2000</v>
      </c>
      <c r="S13" s="2">
        <v>2000</v>
      </c>
      <c r="T13" s="75">
        <f t="shared" si="0"/>
        <v>-0.5555555555555556</v>
      </c>
    </row>
    <row r="14" spans="1:21" ht="12.75">
      <c r="A14" t="s">
        <v>646</v>
      </c>
      <c r="B14" s="4">
        <v>51.26</v>
      </c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>
        <v>1240</v>
      </c>
      <c r="N14" s="2">
        <v>1488</v>
      </c>
      <c r="O14" s="2">
        <f>+N14/$N$3*12</f>
        <v>1785.6000000000001</v>
      </c>
      <c r="P14" s="2"/>
      <c r="Q14" s="2"/>
      <c r="R14" s="2"/>
      <c r="S14" s="2"/>
      <c r="T14" s="75"/>
      <c r="U14" s="2"/>
    </row>
    <row r="15" spans="2:20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</row>
    <row r="16" spans="1:20" ht="12.75">
      <c r="A16" t="s">
        <v>209</v>
      </c>
      <c r="B16" s="4">
        <v>52.126</v>
      </c>
      <c r="C16" s="2">
        <v>35223</v>
      </c>
      <c r="D16" s="2">
        <v>24176</v>
      </c>
      <c r="E16" s="2">
        <v>46119</v>
      </c>
      <c r="F16" s="2">
        <v>64176</v>
      </c>
      <c r="G16" s="2">
        <v>53263</v>
      </c>
      <c r="H16" s="2">
        <v>43493</v>
      </c>
      <c r="I16" s="2">
        <v>38801</v>
      </c>
      <c r="J16" s="2">
        <v>67585</v>
      </c>
      <c r="K16" s="2">
        <f>56893+2071</f>
        <v>58964</v>
      </c>
      <c r="L16" s="2">
        <f>78793+1232</f>
        <v>80025</v>
      </c>
      <c r="M16" s="2">
        <v>58383</v>
      </c>
      <c r="N16" s="2">
        <v>41109</v>
      </c>
      <c r="O16" s="2">
        <f>+N16/$N$3*12</f>
        <v>49330.799999999996</v>
      </c>
      <c r="P16" s="2">
        <v>50000</v>
      </c>
      <c r="Q16" s="2">
        <v>55000</v>
      </c>
      <c r="R16" s="2">
        <v>50000</v>
      </c>
      <c r="S16" s="2">
        <v>50000</v>
      </c>
      <c r="T16" s="75">
        <f>(S16-P16)/P16</f>
        <v>0</v>
      </c>
    </row>
    <row r="17" spans="1:20" ht="12.75">
      <c r="A17" t="s">
        <v>170</v>
      </c>
      <c r="B17" s="4">
        <v>52.211</v>
      </c>
      <c r="C17" s="2"/>
      <c r="D17" s="2"/>
      <c r="E17" s="2">
        <v>1500</v>
      </c>
      <c r="F17" s="2">
        <v>2260</v>
      </c>
      <c r="G17" s="2">
        <v>2159</v>
      </c>
      <c r="H17" s="2">
        <v>2492</v>
      </c>
      <c r="I17" s="2">
        <v>2304</v>
      </c>
      <c r="J17" s="2">
        <v>3576</v>
      </c>
      <c r="K17" s="2">
        <v>2540</v>
      </c>
      <c r="L17" s="2">
        <v>1704</v>
      </c>
      <c r="M17" s="2">
        <v>1770</v>
      </c>
      <c r="N17" s="2">
        <v>1523</v>
      </c>
      <c r="O17" s="2">
        <f>+N17/$N$3*12</f>
        <v>1827.6000000000001</v>
      </c>
      <c r="P17" s="2">
        <v>1500</v>
      </c>
      <c r="Q17" s="2">
        <v>2500</v>
      </c>
      <c r="R17" s="2">
        <v>1900</v>
      </c>
      <c r="S17" s="2">
        <v>1900</v>
      </c>
      <c r="T17" s="75">
        <f>(S17-P17)/P17</f>
        <v>0.26666666666666666</v>
      </c>
    </row>
    <row r="18" spans="1:21" ht="12.75">
      <c r="A18" t="s">
        <v>210</v>
      </c>
      <c r="B18" s="4">
        <v>52.22</v>
      </c>
      <c r="C18" s="2">
        <v>8563</v>
      </c>
      <c r="D18" s="2">
        <v>7582</v>
      </c>
      <c r="E18" s="2">
        <v>3873</v>
      </c>
      <c r="F18" s="2"/>
      <c r="G18" s="2">
        <v>2624</v>
      </c>
      <c r="H18" s="2">
        <v>1150</v>
      </c>
      <c r="I18" s="2">
        <v>2358</v>
      </c>
      <c r="J18" s="2">
        <v>2446</v>
      </c>
      <c r="K18" s="2">
        <v>5540</v>
      </c>
      <c r="L18" s="2">
        <v>3744</v>
      </c>
      <c r="M18" s="2">
        <v>1626</v>
      </c>
      <c r="N18" s="2"/>
      <c r="O18" s="2">
        <f>+N18/$N$3*12</f>
        <v>0</v>
      </c>
      <c r="P18" s="2"/>
      <c r="Q18" s="2">
        <v>2000</v>
      </c>
      <c r="R18" s="2">
        <v>2000</v>
      </c>
      <c r="S18" s="2">
        <v>2000</v>
      </c>
      <c r="T18" s="75" t="e">
        <f>(S18-P18)/P18</f>
        <v>#DIV/0!</v>
      </c>
      <c r="U18" t="s">
        <v>338</v>
      </c>
    </row>
    <row r="19" spans="1:20" ht="12.75">
      <c r="A19" t="s">
        <v>172</v>
      </c>
      <c r="B19" s="4">
        <v>52.2201</v>
      </c>
      <c r="C19" s="2"/>
      <c r="D19" s="2"/>
      <c r="E19" s="2">
        <v>670</v>
      </c>
      <c r="F19" s="2">
        <v>2247</v>
      </c>
      <c r="G19" s="2">
        <v>180</v>
      </c>
      <c r="H19" s="2">
        <v>160</v>
      </c>
      <c r="I19" s="2">
        <v>160</v>
      </c>
      <c r="J19" s="2"/>
      <c r="K19" s="2">
        <v>1749</v>
      </c>
      <c r="L19" s="2"/>
      <c r="M19" s="2"/>
      <c r="N19" s="2"/>
      <c r="O19" s="2"/>
      <c r="P19" s="2"/>
      <c r="Q19" s="2"/>
      <c r="R19" s="2"/>
      <c r="S19" s="2"/>
      <c r="T19" s="75"/>
    </row>
    <row r="20" spans="1:20" ht="12.75" hidden="1">
      <c r="A20" t="s">
        <v>173</v>
      </c>
      <c r="B20" s="4">
        <v>52.2205</v>
      </c>
      <c r="C20" s="2">
        <v>2466</v>
      </c>
      <c r="D20" s="2">
        <v>2563</v>
      </c>
      <c r="E20" s="2">
        <v>1081</v>
      </c>
      <c r="F20" s="2">
        <v>230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5"/>
    </row>
    <row r="21" spans="1:20" ht="12.75" hidden="1">
      <c r="A21" t="s">
        <v>159</v>
      </c>
      <c r="B21" s="4">
        <v>52.2206</v>
      </c>
      <c r="C21" s="2"/>
      <c r="D21" s="2"/>
      <c r="E21" s="2"/>
      <c r="F21" s="2">
        <v>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 hidden="1">
      <c r="A22" t="s">
        <v>116</v>
      </c>
      <c r="B22" s="4">
        <v>52.321</v>
      </c>
      <c r="C22" s="2"/>
      <c r="D22" s="2"/>
      <c r="E22" s="2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5" t="e">
        <f>(S22-P22)/P22</f>
        <v>#DIV/0!</v>
      </c>
    </row>
    <row r="23" spans="1:20" ht="12.75">
      <c r="A23" t="s">
        <v>128</v>
      </c>
      <c r="B23" s="4">
        <v>52.35</v>
      </c>
      <c r="C23" s="2">
        <v>853</v>
      </c>
      <c r="D23" s="2">
        <v>625</v>
      </c>
      <c r="E23" s="2">
        <v>1211</v>
      </c>
      <c r="F23" s="2">
        <v>556</v>
      </c>
      <c r="G23" s="2">
        <v>211</v>
      </c>
      <c r="H23" s="2">
        <v>786</v>
      </c>
      <c r="I23" s="2">
        <v>609</v>
      </c>
      <c r="J23" s="2">
        <v>58</v>
      </c>
      <c r="K23" s="2">
        <v>342</v>
      </c>
      <c r="L23" s="2">
        <v>166</v>
      </c>
      <c r="M23" s="2"/>
      <c r="N23" s="11">
        <v>0</v>
      </c>
      <c r="O23" s="2">
        <v>200</v>
      </c>
      <c r="P23" s="2">
        <v>200</v>
      </c>
      <c r="Q23" s="2">
        <v>500</v>
      </c>
      <c r="R23" s="2">
        <v>200</v>
      </c>
      <c r="S23" s="2">
        <v>200</v>
      </c>
      <c r="T23" s="75">
        <f>(S23-P23)/P23</f>
        <v>0</v>
      </c>
    </row>
    <row r="24" spans="1:20" ht="12.75" hidden="1">
      <c r="A24" t="s">
        <v>118</v>
      </c>
      <c r="B24" s="4">
        <v>52.3602</v>
      </c>
      <c r="C24" s="2"/>
      <c r="D24" s="2"/>
      <c r="E24" s="2">
        <v>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5"/>
    </row>
    <row r="25" spans="1:21" ht="12.75">
      <c r="A25" t="s">
        <v>129</v>
      </c>
      <c r="B25" s="4">
        <v>52.37</v>
      </c>
      <c r="C25" s="2"/>
      <c r="D25" s="2"/>
      <c r="E25" s="2">
        <v>105</v>
      </c>
      <c r="F25" s="2"/>
      <c r="G25" s="2">
        <v>576</v>
      </c>
      <c r="H25" s="2"/>
      <c r="I25" s="2"/>
      <c r="J25" s="2"/>
      <c r="K25" s="2">
        <v>480</v>
      </c>
      <c r="L25" s="2"/>
      <c r="M25" s="2"/>
      <c r="N25" s="2">
        <v>0</v>
      </c>
      <c r="O25" s="2">
        <v>300</v>
      </c>
      <c r="P25" s="2">
        <v>300</v>
      </c>
      <c r="Q25" s="2">
        <v>500</v>
      </c>
      <c r="R25" s="2">
        <v>300</v>
      </c>
      <c r="S25" s="2">
        <v>300</v>
      </c>
      <c r="T25" s="75"/>
      <c r="U25" s="10"/>
    </row>
    <row r="26" spans="2:21" ht="12.75">
      <c r="B26" s="4"/>
      <c r="C26" s="2"/>
      <c r="D26" s="2"/>
      <c r="E26" s="2"/>
      <c r="F26" s="2"/>
      <c r="G26" s="2"/>
      <c r="H26" s="2"/>
      <c r="I26" s="2"/>
      <c r="J26" s="2">
        <v>114</v>
      </c>
      <c r="K26" s="2"/>
      <c r="L26" s="2"/>
      <c r="M26" s="2"/>
      <c r="N26" s="2"/>
      <c r="O26" s="2"/>
      <c r="P26" s="2"/>
      <c r="Q26" s="2"/>
      <c r="R26" s="2"/>
      <c r="S26" s="2"/>
      <c r="T26" s="75"/>
      <c r="U26" s="10"/>
    </row>
    <row r="27" spans="1:20" ht="12.75">
      <c r="A27" t="s">
        <v>122</v>
      </c>
      <c r="B27" s="4">
        <v>53.12</v>
      </c>
      <c r="C27" s="2">
        <v>29019</v>
      </c>
      <c r="D27" s="2">
        <v>29793</v>
      </c>
      <c r="E27" s="2">
        <v>31934</v>
      </c>
      <c r="F27" s="2">
        <v>29883</v>
      </c>
      <c r="G27" s="2">
        <v>30335</v>
      </c>
      <c r="H27" s="2">
        <v>28069</v>
      </c>
      <c r="I27" s="2">
        <v>30918</v>
      </c>
      <c r="J27" s="2">
        <v>45697</v>
      </c>
      <c r="K27" s="2">
        <v>40455</v>
      </c>
      <c r="L27" s="2">
        <v>45545</v>
      </c>
      <c r="M27" s="2">
        <v>43069</v>
      </c>
      <c r="N27" s="2">
        <v>31498</v>
      </c>
      <c r="O27" s="2">
        <f>+N27/$N$3*12</f>
        <v>37797.600000000006</v>
      </c>
      <c r="P27" s="2">
        <v>39000</v>
      </c>
      <c r="Q27" s="2">
        <v>43000</v>
      </c>
      <c r="R27" s="2">
        <v>39000</v>
      </c>
      <c r="S27" s="2">
        <v>39000</v>
      </c>
      <c r="T27" s="75">
        <f>(S27-P27)/P27</f>
        <v>0</v>
      </c>
    </row>
    <row r="28" spans="1:20" ht="12.75">
      <c r="A28" t="s">
        <v>211</v>
      </c>
      <c r="B28" s="4">
        <v>53.131</v>
      </c>
      <c r="C28" s="2">
        <v>67525</v>
      </c>
      <c r="D28" s="2">
        <v>81806</v>
      </c>
      <c r="E28" s="2">
        <v>86317</v>
      </c>
      <c r="F28" s="2">
        <v>84937</v>
      </c>
      <c r="G28" s="2">
        <v>91524</v>
      </c>
      <c r="H28" s="2">
        <v>86825</v>
      </c>
      <c r="I28" s="2">
        <f>82041+8655</f>
        <v>90696</v>
      </c>
      <c r="J28" s="2">
        <v>111182</v>
      </c>
      <c r="K28" s="2">
        <v>105246</v>
      </c>
      <c r="L28" s="2">
        <v>125127</v>
      </c>
      <c r="M28" s="2">
        <v>103497</v>
      </c>
      <c r="N28" s="2">
        <v>78031</v>
      </c>
      <c r="O28" s="2">
        <f>+N28/$N$3*12</f>
        <v>93637.20000000001</v>
      </c>
      <c r="P28" s="2">
        <v>103000</v>
      </c>
      <c r="Q28" s="2">
        <v>103000</v>
      </c>
      <c r="R28" s="2">
        <v>103000</v>
      </c>
      <c r="S28" s="2">
        <v>103000</v>
      </c>
      <c r="T28" s="75">
        <f>(S28-P28)/P28</f>
        <v>0</v>
      </c>
    </row>
    <row r="29" spans="1:21" ht="12.75">
      <c r="A29" t="s">
        <v>174</v>
      </c>
      <c r="B29" s="4">
        <v>53.1702</v>
      </c>
      <c r="C29" s="2">
        <v>5998</v>
      </c>
      <c r="D29" s="2">
        <v>7279</v>
      </c>
      <c r="E29" s="2">
        <v>379</v>
      </c>
      <c r="F29" s="2"/>
      <c r="G29" s="2">
        <v>4350</v>
      </c>
      <c r="H29" s="2"/>
      <c r="I29" s="2">
        <v>668</v>
      </c>
      <c r="J29" s="2">
        <v>3172</v>
      </c>
      <c r="K29" s="2">
        <v>6906</v>
      </c>
      <c r="L29" s="2">
        <v>3942</v>
      </c>
      <c r="M29" s="2">
        <v>427</v>
      </c>
      <c r="N29" s="2"/>
      <c r="O29" s="2">
        <f>+N29/$N$3*12</f>
        <v>0</v>
      </c>
      <c r="P29" s="2"/>
      <c r="Q29" s="2">
        <v>11000</v>
      </c>
      <c r="R29" s="2">
        <v>11000</v>
      </c>
      <c r="S29" s="2">
        <v>11000</v>
      </c>
      <c r="T29" s="75" t="e">
        <f>(S29-P29)/P29</f>
        <v>#DIV/0!</v>
      </c>
      <c r="U29" t="s">
        <v>338</v>
      </c>
    </row>
    <row r="30" spans="1:21" ht="12.75" hidden="1">
      <c r="A30" t="s">
        <v>148</v>
      </c>
      <c r="B30" s="4">
        <v>53.1704</v>
      </c>
      <c r="C30" s="2"/>
      <c r="D30" s="2"/>
      <c r="E30" s="2">
        <v>141</v>
      </c>
      <c r="F30" s="2">
        <v>349</v>
      </c>
      <c r="G30" s="2"/>
      <c r="H30" s="2">
        <v>107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5" t="e">
        <f>(S30-P30)/P30</f>
        <v>#DIV/0!</v>
      </c>
      <c r="U30" t="s">
        <v>338</v>
      </c>
    </row>
    <row r="31" spans="1:21" ht="12.75" hidden="1">
      <c r="A31" t="s">
        <v>216</v>
      </c>
      <c r="B31" s="4">
        <v>53.1706</v>
      </c>
      <c r="C31" s="2"/>
      <c r="D31" s="2"/>
      <c r="E31" s="2"/>
      <c r="F31" s="2">
        <v>289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5"/>
      <c r="U31" t="s">
        <v>338</v>
      </c>
    </row>
    <row r="32" spans="1:21" ht="12.75">
      <c r="A32" t="s">
        <v>123</v>
      </c>
      <c r="B32" s="4">
        <v>53.171</v>
      </c>
      <c r="C32" s="2">
        <v>687</v>
      </c>
      <c r="D32" s="2">
        <v>456</v>
      </c>
      <c r="E32" s="2">
        <v>843</v>
      </c>
      <c r="F32" s="2">
        <v>1401</v>
      </c>
      <c r="G32" s="2">
        <v>1954</v>
      </c>
      <c r="H32" s="2">
        <v>2069</v>
      </c>
      <c r="I32" s="2">
        <v>1921</v>
      </c>
      <c r="J32" s="2">
        <v>1261</v>
      </c>
      <c r="K32" s="2">
        <v>2308</v>
      </c>
      <c r="L32" s="2">
        <v>2362</v>
      </c>
      <c r="M32" s="2">
        <v>2840</v>
      </c>
      <c r="N32" s="11"/>
      <c r="O32" s="2">
        <f>+N32/$N$3*12</f>
        <v>0</v>
      </c>
      <c r="P32" s="2"/>
      <c r="Q32" s="2">
        <v>3500</v>
      </c>
      <c r="R32" s="2">
        <v>3500</v>
      </c>
      <c r="S32" s="2">
        <v>3500</v>
      </c>
      <c r="T32" s="75" t="e">
        <f>(S32-P32)/P32</f>
        <v>#DIV/0!</v>
      </c>
      <c r="U32" t="s">
        <v>338</v>
      </c>
    </row>
    <row r="33" spans="1:21" ht="12.75">
      <c r="A33" t="s">
        <v>124</v>
      </c>
      <c r="B33" s="4">
        <v>53.172</v>
      </c>
      <c r="C33" s="2"/>
      <c r="D33" s="2"/>
      <c r="E33" s="2">
        <v>2115</v>
      </c>
      <c r="F33" s="2">
        <v>5765</v>
      </c>
      <c r="G33" s="2">
        <v>2148</v>
      </c>
      <c r="H33" s="2">
        <v>2165</v>
      </c>
      <c r="I33" s="2">
        <v>4623</v>
      </c>
      <c r="J33" s="2">
        <v>2688</v>
      </c>
      <c r="K33" s="2">
        <f>3644+1757</f>
        <v>5401</v>
      </c>
      <c r="L33" s="2">
        <f>4510+46</f>
        <v>4556</v>
      </c>
      <c r="M33" s="2">
        <v>2265</v>
      </c>
      <c r="N33" s="11">
        <v>115</v>
      </c>
      <c r="O33" s="2">
        <f>+N33/$N$3*12</f>
        <v>138</v>
      </c>
      <c r="P33" s="2"/>
      <c r="Q33" s="2">
        <v>10000</v>
      </c>
      <c r="R33" s="2">
        <v>10000</v>
      </c>
      <c r="S33" s="2">
        <v>10000</v>
      </c>
      <c r="T33" s="75" t="e">
        <f>(S33-P33)/P33</f>
        <v>#DIV/0!</v>
      </c>
      <c r="U33" t="s">
        <v>338</v>
      </c>
    </row>
    <row r="34" spans="1:20" ht="12.75" hidden="1">
      <c r="A34" t="s">
        <v>212</v>
      </c>
      <c r="B34" s="4">
        <v>53.1726</v>
      </c>
      <c r="C34" s="2">
        <v>352</v>
      </c>
      <c r="D34" s="2"/>
      <c r="E34" s="2">
        <v>813</v>
      </c>
      <c r="F34" s="2"/>
      <c r="G34" s="2">
        <v>57</v>
      </c>
      <c r="H34" s="2"/>
      <c r="I34" s="2"/>
      <c r="J34" s="2"/>
      <c r="K34" s="2"/>
      <c r="L34" s="2"/>
      <c r="M34" s="2"/>
      <c r="N34" s="2"/>
      <c r="O34" s="2">
        <f>+N34/$N$3*12</f>
        <v>0</v>
      </c>
      <c r="P34" s="2"/>
      <c r="Q34" s="2"/>
      <c r="R34" s="2"/>
      <c r="S34" s="2"/>
      <c r="T34" s="75"/>
    </row>
    <row r="35" spans="1:20" ht="12.75">
      <c r="A35" t="s">
        <v>213</v>
      </c>
      <c r="B35" s="4">
        <v>53.174</v>
      </c>
      <c r="C35" s="2">
        <v>3457</v>
      </c>
      <c r="D35" s="2">
        <v>5661</v>
      </c>
      <c r="E35" s="2">
        <v>5741</v>
      </c>
      <c r="F35" s="2">
        <v>5129</v>
      </c>
      <c r="G35" s="2">
        <v>4237</v>
      </c>
      <c r="H35" s="2">
        <v>5431</v>
      </c>
      <c r="I35" s="2">
        <f>6205+551</f>
        <v>6756</v>
      </c>
      <c r="J35" s="2">
        <v>5197</v>
      </c>
      <c r="K35" s="2">
        <f>4780+406</f>
        <v>5186</v>
      </c>
      <c r="L35" s="2">
        <f>-105+688</f>
        <v>583</v>
      </c>
      <c r="M35" s="2">
        <v>6268</v>
      </c>
      <c r="N35" s="2">
        <v>3435</v>
      </c>
      <c r="O35" s="2">
        <f>+N35/$N$3*12</f>
        <v>4122</v>
      </c>
      <c r="P35" s="2">
        <v>5000</v>
      </c>
      <c r="Q35" s="2">
        <v>5500</v>
      </c>
      <c r="R35" s="2">
        <v>5000</v>
      </c>
      <c r="S35" s="2">
        <v>5000</v>
      </c>
      <c r="T35" s="75">
        <f>(S35-P35)/P35</f>
        <v>0</v>
      </c>
    </row>
    <row r="36" spans="1:20" ht="12.75">
      <c r="A36" t="s">
        <v>201</v>
      </c>
      <c r="B36" s="4">
        <v>53.173</v>
      </c>
      <c r="C36" s="2"/>
      <c r="D36" s="2"/>
      <c r="E36" s="2"/>
      <c r="F36" s="2"/>
      <c r="G36" s="2"/>
      <c r="H36" s="2"/>
      <c r="I36" s="2"/>
      <c r="J36" s="2"/>
      <c r="K36" s="2"/>
      <c r="L36" s="2">
        <v>5247</v>
      </c>
      <c r="M36" s="2"/>
      <c r="N36" s="2"/>
      <c r="O36" s="2"/>
      <c r="P36" s="2"/>
      <c r="Q36" s="2"/>
      <c r="R36" s="2"/>
      <c r="S36" s="2"/>
      <c r="T36" s="75"/>
    </row>
    <row r="37" spans="2:20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5"/>
    </row>
    <row r="38" spans="1:21" ht="12.75">
      <c r="A38" t="s">
        <v>349</v>
      </c>
      <c r="B38" s="4">
        <v>54.255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1000</v>
      </c>
      <c r="R38" s="2">
        <v>1000</v>
      </c>
      <c r="S38" s="2">
        <v>1000</v>
      </c>
      <c r="T38" s="75"/>
      <c r="U38" t="s">
        <v>933</v>
      </c>
    </row>
    <row r="39" spans="1:21" ht="12.75">
      <c r="A39" t="s">
        <v>932</v>
      </c>
      <c r="B39" s="4">
        <v>54.2622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3200</v>
      </c>
      <c r="R39" s="2">
        <v>3200</v>
      </c>
      <c r="S39" s="2">
        <v>3200</v>
      </c>
      <c r="T39" s="75"/>
      <c r="U39" t="s">
        <v>933</v>
      </c>
    </row>
    <row r="40" spans="2:20" ht="12.75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5"/>
    </row>
    <row r="41" spans="1:20" ht="12.75">
      <c r="A41" t="s">
        <v>214</v>
      </c>
      <c r="B41" s="4">
        <v>57.109</v>
      </c>
      <c r="C41" s="2">
        <v>19766</v>
      </c>
      <c r="D41" s="2">
        <v>1210</v>
      </c>
      <c r="E41" s="2">
        <v>12315</v>
      </c>
      <c r="F41" s="2">
        <v>12455</v>
      </c>
      <c r="G41" s="2">
        <v>9420</v>
      </c>
      <c r="H41" s="2">
        <v>8220</v>
      </c>
      <c r="I41" s="2">
        <f>2730+3220</f>
        <v>5950</v>
      </c>
      <c r="J41" s="2">
        <v>26933</v>
      </c>
      <c r="K41" s="2">
        <v>44120</v>
      </c>
      <c r="L41" s="2">
        <f>18070+5280</f>
        <v>23350</v>
      </c>
      <c r="M41" s="2">
        <v>39770</v>
      </c>
      <c r="N41" s="2">
        <v>0</v>
      </c>
      <c r="O41" s="2">
        <v>15000</v>
      </c>
      <c r="P41" s="2">
        <v>40000</v>
      </c>
      <c r="Q41" s="2">
        <v>40000</v>
      </c>
      <c r="R41" s="2">
        <v>40000</v>
      </c>
      <c r="S41" s="2">
        <v>30000</v>
      </c>
      <c r="T41" s="75">
        <f>(S41-P41)/P41</f>
        <v>-0.25</v>
      </c>
    </row>
    <row r="42" spans="1:20" ht="12.75" hidden="1">
      <c r="A42" t="s">
        <v>215</v>
      </c>
      <c r="B42" s="4">
        <v>53.18</v>
      </c>
      <c r="C42" s="5"/>
      <c r="D42" s="5"/>
      <c r="E42" s="2">
        <v>191</v>
      </c>
      <c r="F42" s="5"/>
      <c r="G42" s="5"/>
      <c r="H42" s="5"/>
      <c r="I42" s="5"/>
      <c r="J42" s="5"/>
      <c r="K42" s="5"/>
      <c r="L42" s="5"/>
      <c r="M42" s="5"/>
      <c r="N42" s="5"/>
      <c r="O42" s="2">
        <f>+N42/$N$3*12</f>
        <v>0</v>
      </c>
      <c r="P42" s="2"/>
      <c r="Q42" s="5"/>
      <c r="R42" s="2"/>
      <c r="S42" s="2"/>
      <c r="T42" s="48"/>
    </row>
    <row r="43" spans="1:20" ht="12.75" hidden="1">
      <c r="A43" t="s">
        <v>293</v>
      </c>
      <c r="B43" s="4"/>
      <c r="C43">
        <v>960</v>
      </c>
      <c r="D43" s="5"/>
      <c r="E43" s="5"/>
      <c r="F43" s="5"/>
      <c r="G43" s="5"/>
      <c r="H43" s="5"/>
      <c r="I43" s="2">
        <v>258</v>
      </c>
      <c r="J43" s="2"/>
      <c r="K43" s="2"/>
      <c r="L43" s="2"/>
      <c r="M43" s="2"/>
      <c r="N43" s="5"/>
      <c r="O43" s="2">
        <f>+N43/$N$3*12</f>
        <v>0</v>
      </c>
      <c r="P43" s="2"/>
      <c r="Q43" s="5"/>
      <c r="R43" s="2"/>
      <c r="S43" s="2"/>
      <c r="T43" s="48"/>
    </row>
    <row r="44" spans="2:20" ht="12.75">
      <c r="B44" s="4"/>
      <c r="D44" s="5"/>
      <c r="E44" s="5"/>
      <c r="F44" s="5"/>
      <c r="G44" s="5"/>
      <c r="H44" s="5"/>
      <c r="I44" s="2"/>
      <c r="J44" s="2"/>
      <c r="K44" s="2"/>
      <c r="L44" s="2"/>
      <c r="M44" s="2"/>
      <c r="N44" s="5"/>
      <c r="O44" s="2"/>
      <c r="P44" s="2"/>
      <c r="Q44" s="5"/>
      <c r="R44" s="2"/>
      <c r="S44" s="2"/>
      <c r="T44" s="48"/>
    </row>
    <row r="45" spans="1:20" ht="12.75">
      <c r="A45" t="s">
        <v>337</v>
      </c>
      <c r="B45" s="4"/>
      <c r="D45" s="5"/>
      <c r="E45" s="5"/>
      <c r="F45" s="5"/>
      <c r="G45" s="5"/>
      <c r="H45" s="5"/>
      <c r="I45" s="2"/>
      <c r="J45" s="2"/>
      <c r="K45" s="2"/>
      <c r="L45" s="2"/>
      <c r="M45" s="2"/>
      <c r="N45" s="5"/>
      <c r="O45" s="2"/>
      <c r="P45" s="2"/>
      <c r="Q45" s="2"/>
      <c r="R45" s="2"/>
      <c r="S45" s="2"/>
      <c r="T45" s="48"/>
    </row>
    <row r="46" spans="1:20" ht="12.75">
      <c r="A46" t="s">
        <v>291</v>
      </c>
      <c r="B46" s="4"/>
      <c r="C46" s="5"/>
      <c r="D46">
        <v>11</v>
      </c>
      <c r="N46" s="5"/>
      <c r="O46" s="2"/>
      <c r="P46" s="5"/>
      <c r="Q46" s="5"/>
      <c r="R46" s="5"/>
      <c r="S46" s="105"/>
      <c r="T46" s="48"/>
    </row>
    <row r="47" spans="2:20" ht="12.75">
      <c r="B47" s="4"/>
      <c r="C47" s="5"/>
      <c r="N47" s="5"/>
      <c r="O47" s="2"/>
      <c r="P47" s="5"/>
      <c r="Q47" s="5"/>
      <c r="R47" s="5"/>
      <c r="S47" s="105"/>
      <c r="T47" s="48"/>
    </row>
    <row r="48" spans="1:20" ht="12.75">
      <c r="A48" s="6" t="s">
        <v>91</v>
      </c>
      <c r="B48" s="6"/>
      <c r="C48" s="7">
        <f aca="true" t="shared" si="1" ref="C48:I48">SUM(C7:C46)</f>
        <v>580676</v>
      </c>
      <c r="D48" s="8">
        <f t="shared" si="1"/>
        <v>542746</v>
      </c>
      <c r="E48" s="8">
        <f t="shared" si="1"/>
        <v>639988</v>
      </c>
      <c r="F48" s="8">
        <f t="shared" si="1"/>
        <v>721590</v>
      </c>
      <c r="G48" s="8">
        <f t="shared" si="1"/>
        <v>717429</v>
      </c>
      <c r="H48" s="8">
        <f t="shared" si="1"/>
        <v>757704</v>
      </c>
      <c r="I48" s="8">
        <f t="shared" si="1"/>
        <v>774334</v>
      </c>
      <c r="J48" s="8">
        <v>904417</v>
      </c>
      <c r="K48" s="8">
        <f aca="true" t="shared" si="2" ref="K48:R48">SUM(K7:K47)</f>
        <v>991311</v>
      </c>
      <c r="L48" s="8">
        <v>998072</v>
      </c>
      <c r="M48" s="8">
        <v>971579</v>
      </c>
      <c r="N48" s="8">
        <f t="shared" si="2"/>
        <v>738672</v>
      </c>
      <c r="O48" s="8">
        <f t="shared" si="2"/>
        <v>907706.3999999999</v>
      </c>
      <c r="P48" s="8">
        <f t="shared" si="2"/>
        <v>979690.7494850002</v>
      </c>
      <c r="Q48" s="8">
        <f>SUM(Q7:Q47)</f>
        <v>1010703.9985</v>
      </c>
      <c r="R48" s="8">
        <f t="shared" si="2"/>
        <v>1000103.9985</v>
      </c>
      <c r="S48" s="8">
        <f>SUM(S7:S47)</f>
        <v>990103.9985</v>
      </c>
      <c r="T48" s="49">
        <f>(S48-P48)/P48</f>
        <v>0.010629118444237457</v>
      </c>
    </row>
    <row r="49" ht="12.75">
      <c r="T49" s="48"/>
    </row>
    <row r="50" spans="16:20" ht="12.75">
      <c r="P50" s="20" t="s">
        <v>445</v>
      </c>
      <c r="Q50" s="20"/>
      <c r="R50" s="52">
        <f>Q48-R48</f>
        <v>10600</v>
      </c>
      <c r="T50" s="48"/>
    </row>
    <row r="51" spans="16:20" ht="12.75">
      <c r="P51" s="20" t="s">
        <v>668</v>
      </c>
      <c r="Q51" s="20"/>
      <c r="R51" s="52">
        <f>P48-R48</f>
        <v>-20413.249014999834</v>
      </c>
      <c r="T51" s="48"/>
    </row>
    <row r="52" spans="1:20" ht="12.75">
      <c r="A52" s="6"/>
      <c r="P52" s="20" t="s">
        <v>397</v>
      </c>
      <c r="Q52" s="20"/>
      <c r="R52" s="52">
        <f>R48-S48</f>
        <v>10000</v>
      </c>
      <c r="T52" s="48"/>
    </row>
    <row r="53" ht="12.75">
      <c r="T53" s="48"/>
    </row>
    <row r="54" spans="1:20" ht="12.75">
      <c r="A54" t="s">
        <v>728</v>
      </c>
      <c r="T54" s="48"/>
    </row>
    <row r="55" spans="1:20" ht="12.75">
      <c r="A55" s="15" t="s">
        <v>934</v>
      </c>
      <c r="T55" s="48"/>
    </row>
    <row r="56" spans="1:20" ht="12.75">
      <c r="A56" t="s">
        <v>521</v>
      </c>
      <c r="T56" s="48"/>
    </row>
    <row r="57" ht="12.75">
      <c r="T57" s="48"/>
    </row>
    <row r="63" ht="12.75">
      <c r="R63" s="5"/>
    </row>
    <row r="64" ht="12.75">
      <c r="R64" s="5"/>
    </row>
    <row r="65" ht="12.75">
      <c r="R65" s="5"/>
    </row>
    <row r="66" ht="12.75">
      <c r="R66" s="5"/>
    </row>
    <row r="67" ht="12.75">
      <c r="R67" s="5"/>
    </row>
    <row r="68" ht="12.75">
      <c r="R68" s="5"/>
    </row>
    <row r="69" ht="12.75">
      <c r="R69" s="5"/>
    </row>
    <row r="71" ht="12.75">
      <c r="R71" s="5"/>
    </row>
    <row r="72" ht="12.75">
      <c r="R72" s="5"/>
    </row>
    <row r="73" ht="12.75">
      <c r="R73" s="5"/>
    </row>
    <row r="77" ht="12.75">
      <c r="R77" s="5"/>
    </row>
    <row r="78" ht="12.75">
      <c r="R78" s="5"/>
    </row>
    <row r="79" ht="12.75">
      <c r="R79" s="5"/>
    </row>
    <row r="80" ht="12.75">
      <c r="R80" s="5"/>
    </row>
    <row r="81" spans="18:20" ht="12.75">
      <c r="R81" s="5"/>
      <c r="T81" s="2"/>
    </row>
    <row r="82" spans="18:20" ht="12.75">
      <c r="R82" s="5"/>
      <c r="T82" s="2"/>
    </row>
    <row r="83" ht="12.75">
      <c r="T83" s="2"/>
    </row>
    <row r="84" spans="18:20" ht="12.75">
      <c r="R84" s="5"/>
      <c r="T84" s="2"/>
    </row>
    <row r="85" spans="18:20" ht="12.75">
      <c r="R85" s="5"/>
      <c r="T85" s="2"/>
    </row>
    <row r="86" ht="12.75">
      <c r="T86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5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T82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8" width="7.57421875" style="0" hidden="1" customWidth="1"/>
    <col min="9" max="12" width="7.57421875" style="0" customWidth="1"/>
    <col min="13" max="13" width="7.57421875" style="0" bestFit="1" customWidth="1"/>
    <col min="14" max="14" width="8.00390625" style="0" bestFit="1" customWidth="1"/>
    <col min="15" max="15" width="9.7109375" style="0" customWidth="1"/>
    <col min="16" max="16" width="10.28125" style="0" bestFit="1" customWidth="1"/>
    <col min="17" max="17" width="11.7109375" style="0" customWidth="1"/>
    <col min="18" max="18" width="8.710937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81</v>
      </c>
    </row>
    <row r="2" ht="12.75">
      <c r="A2" t="s">
        <v>82</v>
      </c>
    </row>
    <row r="3" spans="1:19" ht="12.75">
      <c r="A3" s="6" t="s">
        <v>425</v>
      </c>
      <c r="M3" s="53">
        <v>6</v>
      </c>
      <c r="N3" s="9"/>
      <c r="S3" s="1" t="s">
        <v>399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395</v>
      </c>
      <c r="N4" s="9"/>
      <c r="O4" s="1"/>
      <c r="P4" s="3" t="s">
        <v>86</v>
      </c>
      <c r="Q4" s="3" t="s">
        <v>548</v>
      </c>
      <c r="R4" s="3" t="s">
        <v>549</v>
      </c>
      <c r="S4" s="1" t="s">
        <v>400</v>
      </c>
    </row>
    <row r="5" spans="3:19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396</v>
      </c>
      <c r="O5" s="1" t="s">
        <v>316</v>
      </c>
      <c r="P5" s="3" t="s">
        <v>87</v>
      </c>
      <c r="Q5" s="3" t="s">
        <v>88</v>
      </c>
      <c r="R5" s="3" t="s">
        <v>89</v>
      </c>
      <c r="S5" s="1" t="s">
        <v>388</v>
      </c>
    </row>
    <row r="6" spans="1:20" ht="12.75">
      <c r="A6" t="s">
        <v>93</v>
      </c>
      <c r="C6" s="35">
        <v>2000</v>
      </c>
      <c r="D6" s="35">
        <v>2001</v>
      </c>
      <c r="E6" s="35">
        <v>2002</v>
      </c>
      <c r="F6" s="35">
        <v>2003</v>
      </c>
      <c r="G6" s="35">
        <v>2004</v>
      </c>
      <c r="H6" s="35">
        <v>2005</v>
      </c>
      <c r="I6" s="35">
        <v>2006</v>
      </c>
      <c r="J6" s="35">
        <v>2007</v>
      </c>
      <c r="K6" s="35">
        <v>2008</v>
      </c>
      <c r="L6" s="35">
        <v>2009</v>
      </c>
      <c r="M6" s="21">
        <v>2010</v>
      </c>
      <c r="N6" s="21">
        <v>2010</v>
      </c>
      <c r="O6" s="21">
        <v>2010</v>
      </c>
      <c r="P6" s="21">
        <v>2011</v>
      </c>
      <c r="Q6" s="21">
        <v>2011</v>
      </c>
      <c r="R6" s="21">
        <v>2011</v>
      </c>
      <c r="S6" s="128" t="s">
        <v>881</v>
      </c>
      <c r="T6" s="54" t="s">
        <v>90</v>
      </c>
    </row>
    <row r="7" spans="1:20" ht="12" customHeight="1">
      <c r="A7" t="s">
        <v>622</v>
      </c>
      <c r="B7" s="4"/>
      <c r="C7" s="85"/>
      <c r="D7" s="85"/>
      <c r="E7" s="85"/>
      <c r="F7" s="85">
        <v>6</v>
      </c>
      <c r="G7" s="85"/>
      <c r="H7" s="85"/>
      <c r="I7" s="85"/>
      <c r="J7" s="85"/>
      <c r="K7" s="85"/>
      <c r="L7" s="85"/>
      <c r="M7" s="85"/>
      <c r="N7" s="85"/>
      <c r="O7" s="85"/>
      <c r="P7" s="89"/>
      <c r="Q7" s="85"/>
      <c r="R7" s="85"/>
      <c r="S7" s="85"/>
      <c r="T7" s="93" t="s">
        <v>338</v>
      </c>
    </row>
    <row r="8" spans="1:19" ht="0.75" customHeight="1" hidden="1">
      <c r="A8" t="s">
        <v>243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/>
      <c r="M8" s="2"/>
      <c r="N8" s="2">
        <f>+M8/$M$3*12</f>
        <v>0</v>
      </c>
      <c r="S8" s="75"/>
    </row>
    <row r="9" spans="1:19" ht="12.75" hidden="1">
      <c r="A9" t="s">
        <v>165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S9" s="75"/>
    </row>
    <row r="10" spans="1:19" ht="12.75">
      <c r="A10" t="s">
        <v>248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>
        <v>9</v>
      </c>
      <c r="L10" s="2">
        <v>48</v>
      </c>
      <c r="M10" s="2">
        <v>38</v>
      </c>
      <c r="N10" s="2"/>
      <c r="S10" s="75"/>
    </row>
    <row r="11" spans="1:19" ht="12.75">
      <c r="A11" t="s">
        <v>243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15</v>
      </c>
      <c r="L11" s="2"/>
      <c r="M11" s="2"/>
      <c r="N11" s="2"/>
      <c r="S11" s="75"/>
    </row>
    <row r="12" spans="1:20" ht="12.75">
      <c r="A12" t="s">
        <v>153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36856</v>
      </c>
      <c r="L12" s="2">
        <v>19027</v>
      </c>
      <c r="M12" s="2">
        <v>11825</v>
      </c>
      <c r="N12" s="2">
        <v>30000</v>
      </c>
      <c r="O12" s="2">
        <v>30000</v>
      </c>
      <c r="P12" s="2">
        <v>30000</v>
      </c>
      <c r="Q12" s="2">
        <v>30000</v>
      </c>
      <c r="R12" s="2">
        <v>30000</v>
      </c>
      <c r="S12" s="75">
        <f>(R12-O12)/O12</f>
        <v>0</v>
      </c>
      <c r="T12" t="s">
        <v>463</v>
      </c>
    </row>
    <row r="13" spans="1:19" ht="12.75" hidden="1">
      <c r="A13" t="s">
        <v>215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/>
      <c r="M13" s="2"/>
      <c r="N13" s="2"/>
      <c r="O13" s="2"/>
      <c r="S13" s="75"/>
    </row>
    <row r="14" spans="1:19" ht="12.75" hidden="1">
      <c r="A14" t="s">
        <v>512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K14" s="2"/>
      <c r="L14" s="2"/>
      <c r="N14" s="2"/>
      <c r="O14" s="2"/>
      <c r="P14" s="5"/>
      <c r="Q14" s="2"/>
      <c r="R14" s="2"/>
      <c r="S14" s="75"/>
    </row>
    <row r="15" spans="1:19" ht="12.75" hidden="1">
      <c r="A15" t="s">
        <v>511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K15" s="2"/>
      <c r="L15" s="2"/>
      <c r="N15" s="5"/>
      <c r="O15" s="2"/>
      <c r="P15" s="5"/>
      <c r="Q15" s="5"/>
      <c r="R15" s="5"/>
      <c r="S15" s="75"/>
    </row>
    <row r="16" spans="1:19" ht="12.75">
      <c r="A16" t="s">
        <v>215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 s="2">
        <v>88</v>
      </c>
      <c r="L16" s="2">
        <v>23</v>
      </c>
      <c r="N16" s="5"/>
      <c r="O16" s="2"/>
      <c r="P16" s="5"/>
      <c r="Q16" s="5"/>
      <c r="R16" s="5"/>
      <c r="S16" s="75"/>
    </row>
    <row r="17" spans="1:19" ht="12.75">
      <c r="A17" s="6" t="s">
        <v>91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R17">SUM(J7:J16)</f>
        <v>26774</v>
      </c>
      <c r="K17" s="8">
        <v>36968</v>
      </c>
      <c r="L17" s="8">
        <v>19098</v>
      </c>
      <c r="M17" s="8">
        <f t="shared" si="0"/>
        <v>11863</v>
      </c>
      <c r="N17" s="8">
        <f t="shared" si="0"/>
        <v>30000</v>
      </c>
      <c r="O17" s="8">
        <f t="shared" si="0"/>
        <v>30000</v>
      </c>
      <c r="P17" s="8">
        <f t="shared" si="0"/>
        <v>30000</v>
      </c>
      <c r="Q17" s="8">
        <f t="shared" si="0"/>
        <v>30000</v>
      </c>
      <c r="R17" s="8">
        <f t="shared" si="0"/>
        <v>30000</v>
      </c>
      <c r="S17" s="49">
        <f>(R17-O17)/O17</f>
        <v>0</v>
      </c>
    </row>
    <row r="18" ht="12.75">
      <c r="S18" s="48"/>
    </row>
    <row r="19" spans="15:19" ht="12.75">
      <c r="O19" s="20" t="s">
        <v>445</v>
      </c>
      <c r="P19" s="20"/>
      <c r="Q19" s="52">
        <f>P17-Q17</f>
        <v>0</v>
      </c>
      <c r="S19" s="48"/>
    </row>
    <row r="20" spans="15:19" ht="12.75">
      <c r="O20" s="20" t="s">
        <v>668</v>
      </c>
      <c r="P20" s="20"/>
      <c r="Q20" s="52">
        <f>O17-Q17</f>
        <v>0</v>
      </c>
      <c r="S20" s="48"/>
    </row>
    <row r="21" spans="15:19" ht="12.75">
      <c r="O21" s="20" t="s">
        <v>397</v>
      </c>
      <c r="P21" s="20"/>
      <c r="Q21" s="52">
        <f>Q17-R17</f>
        <v>0</v>
      </c>
      <c r="S21" s="48"/>
    </row>
    <row r="22" spans="1:19" ht="12.75">
      <c r="A22" t="s">
        <v>65</v>
      </c>
      <c r="S22" s="48"/>
    </row>
    <row r="23" spans="1:19" ht="12.75">
      <c r="A23" t="s">
        <v>679</v>
      </c>
      <c r="S23" s="48"/>
    </row>
    <row r="24" spans="1:20" s="20" customFormat="1" ht="12.75">
      <c r="A24" s="37" t="s">
        <v>545</v>
      </c>
      <c r="B24" s="38">
        <v>38.9053</v>
      </c>
      <c r="C24" s="39">
        <v>4689</v>
      </c>
      <c r="D24" s="39">
        <v>7748</v>
      </c>
      <c r="E24" s="39">
        <v>7400</v>
      </c>
      <c r="F24" s="39">
        <v>9971</v>
      </c>
      <c r="G24" s="39">
        <v>14265</v>
      </c>
      <c r="H24" s="39">
        <v>20631</v>
      </c>
      <c r="I24" s="39">
        <v>29877</v>
      </c>
      <c r="J24" s="39">
        <v>28326</v>
      </c>
      <c r="K24" s="39">
        <v>33785</v>
      </c>
      <c r="L24" s="39">
        <v>21679</v>
      </c>
      <c r="M24" s="39"/>
      <c r="N24" s="40"/>
      <c r="O24" s="28"/>
      <c r="P24" s="39"/>
      <c r="Q24" s="39"/>
      <c r="R24" s="39"/>
      <c r="S24" s="84"/>
      <c r="T24" s="39"/>
    </row>
    <row r="25" spans="11:19" ht="12.75">
      <c r="K25" s="2"/>
      <c r="L25" s="2"/>
      <c r="S25" s="48"/>
    </row>
    <row r="26" ht="12.75">
      <c r="S26" s="48"/>
    </row>
    <row r="27" spans="1:19" ht="12.75">
      <c r="A27" s="6"/>
      <c r="S27" s="48"/>
    </row>
    <row r="28" ht="12.75">
      <c r="S28" s="48"/>
    </row>
    <row r="29" spans="15:19" ht="12.75">
      <c r="O29" s="11"/>
      <c r="S29" s="48"/>
    </row>
    <row r="30" spans="15:19" ht="12.75">
      <c r="O30" s="11"/>
      <c r="P30" s="5"/>
      <c r="S30" s="48"/>
    </row>
    <row r="31" spans="15:19" ht="12.75">
      <c r="O31" s="11"/>
      <c r="S31" s="48"/>
    </row>
    <row r="32" ht="12.75">
      <c r="S32" s="48"/>
    </row>
    <row r="33" spans="15:19" ht="12.75">
      <c r="O33" s="5"/>
      <c r="P33" s="5"/>
      <c r="S33" s="48"/>
    </row>
    <row r="34" ht="12.75">
      <c r="S34" s="48"/>
    </row>
    <row r="35" ht="12.75">
      <c r="S35" s="48"/>
    </row>
    <row r="36" ht="12.75">
      <c r="S36" s="48"/>
    </row>
    <row r="37" ht="12.75">
      <c r="S37" s="48"/>
    </row>
    <row r="38" ht="12.75">
      <c r="S38" s="48"/>
    </row>
    <row r="39" ht="12.75">
      <c r="S39" s="48"/>
    </row>
    <row r="40" ht="12.75">
      <c r="S40" s="48"/>
    </row>
    <row r="41" ht="12.75">
      <c r="S41" s="48"/>
    </row>
    <row r="42" ht="12.75">
      <c r="S42" s="48"/>
    </row>
    <row r="43" ht="12.75">
      <c r="S43" s="48"/>
    </row>
    <row r="44" ht="12.75">
      <c r="S44" s="48"/>
    </row>
    <row r="45" ht="12.75">
      <c r="S45" s="48"/>
    </row>
    <row r="46" ht="12.75">
      <c r="S46" s="48"/>
    </row>
    <row r="47" ht="12.75">
      <c r="S47" s="48"/>
    </row>
    <row r="48" ht="12.75">
      <c r="S48" s="48"/>
    </row>
    <row r="49" ht="12.75">
      <c r="S49" s="48"/>
    </row>
    <row r="50" ht="12.75">
      <c r="S50" s="48"/>
    </row>
    <row r="51" ht="12.75">
      <c r="S51" s="48"/>
    </row>
    <row r="52" ht="12.75">
      <c r="S52" s="48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U120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9" width="9.140625" style="0" hidden="1" customWidth="1"/>
    <col min="10" max="10" width="10.00390625" style="0" hidden="1" customWidth="1"/>
    <col min="11" max="11" width="10.00390625" style="0" customWidth="1"/>
    <col min="12" max="12" width="10.421875" style="0" bestFit="1" customWidth="1"/>
    <col min="13" max="13" width="10.421875" style="0" customWidth="1"/>
    <col min="14" max="14" width="10.00390625" style="0" bestFit="1" customWidth="1"/>
    <col min="15" max="15" width="10.421875" style="0" bestFit="1" customWidth="1"/>
    <col min="16" max="17" width="11.7109375" style="0" customWidth="1"/>
    <col min="18" max="19" width="10.8515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426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0" ht="12.75">
      <c r="A7" t="s">
        <v>677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736459.92</v>
      </c>
      <c r="M7" s="2">
        <v>803468</v>
      </c>
      <c r="N7" s="2">
        <v>657826</v>
      </c>
      <c r="O7" s="2">
        <f aca="true" t="shared" si="0" ref="O7:O40">+N7/$N$3*12</f>
        <v>789391.2000000001</v>
      </c>
      <c r="P7" s="2">
        <v>723713.98</v>
      </c>
      <c r="Q7" s="2">
        <f>R7+70000</f>
        <v>836768.18</v>
      </c>
      <c r="R7" s="2">
        <v>766768.18</v>
      </c>
      <c r="S7" s="2">
        <v>766768.18</v>
      </c>
      <c r="T7" s="75">
        <f aca="true" t="shared" si="1" ref="T7:T55">(S7-P7)/P7</f>
        <v>0.059490629157115456</v>
      </c>
    </row>
    <row r="8" spans="1:20" ht="12.75">
      <c r="A8" t="s">
        <v>676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140332</v>
      </c>
      <c r="M8" s="2">
        <v>101973</v>
      </c>
      <c r="N8" s="2">
        <v>95538</v>
      </c>
      <c r="O8" s="2">
        <f t="shared" si="0"/>
        <v>114645.59999999999</v>
      </c>
      <c r="P8" s="2">
        <v>135000</v>
      </c>
      <c r="Q8" s="2">
        <v>122350</v>
      </c>
      <c r="R8" s="2">
        <v>120000</v>
      </c>
      <c r="S8" s="2">
        <v>120000</v>
      </c>
      <c r="T8" s="75"/>
    </row>
    <row r="9" spans="1:20" ht="12.75">
      <c r="A9" t="s">
        <v>656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>
        <v>12615</v>
      </c>
      <c r="M9" s="2">
        <v>14626</v>
      </c>
      <c r="N9" s="2">
        <v>0</v>
      </c>
      <c r="O9" s="2">
        <v>22000</v>
      </c>
      <c r="P9" s="2">
        <v>22746.3</v>
      </c>
      <c r="Q9" s="2">
        <v>22750</v>
      </c>
      <c r="R9" s="18">
        <v>22000</v>
      </c>
      <c r="S9" s="18">
        <v>22000</v>
      </c>
      <c r="T9" s="75">
        <f t="shared" si="1"/>
        <v>-0.0328097316926269</v>
      </c>
    </row>
    <row r="10" spans="1:21" ht="12.75">
      <c r="A10" t="s">
        <v>126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324994</v>
      </c>
      <c r="M10" s="2">
        <v>334340</v>
      </c>
      <c r="N10" s="2">
        <v>273136</v>
      </c>
      <c r="O10" s="2">
        <f t="shared" si="0"/>
        <v>327763.19999999995</v>
      </c>
      <c r="P10" s="19">
        <v>300000</v>
      </c>
      <c r="Q10" s="19">
        <v>330000</v>
      </c>
      <c r="R10" s="19">
        <v>330000</v>
      </c>
      <c r="S10" s="19">
        <v>330000</v>
      </c>
      <c r="T10" s="75">
        <f t="shared" si="1"/>
        <v>0.1</v>
      </c>
      <c r="U10" s="19"/>
    </row>
    <row r="11" spans="1:20" ht="12.75">
      <c r="A11" t="s">
        <v>448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f>90650+360</f>
        <v>91010</v>
      </c>
      <c r="M11" s="2">
        <v>97521</v>
      </c>
      <c r="N11" s="2">
        <v>82713</v>
      </c>
      <c r="O11" s="2">
        <f t="shared" si="0"/>
        <v>99255.59999999999</v>
      </c>
      <c r="P11" s="2">
        <v>105780</v>
      </c>
      <c r="Q11" s="28">
        <f>23.5*4960</f>
        <v>116560</v>
      </c>
      <c r="R11" s="28">
        <f>21.5*4960</f>
        <v>106640</v>
      </c>
      <c r="S11" s="28">
        <v>106640</v>
      </c>
      <c r="T11" s="75">
        <f t="shared" si="1"/>
        <v>0.008130081300813009</v>
      </c>
    </row>
    <row r="12" spans="1:20" ht="12.75">
      <c r="A12" t="s">
        <v>113</v>
      </c>
      <c r="B12" s="4">
        <v>51.22</v>
      </c>
      <c r="C12" s="2">
        <v>42811</v>
      </c>
      <c r="D12" s="2">
        <v>46250</v>
      </c>
      <c r="E12" s="2">
        <v>49933</v>
      </c>
      <c r="F12" s="2">
        <v>52867</v>
      </c>
      <c r="G12" s="2">
        <v>49366</v>
      </c>
      <c r="H12" s="2">
        <v>48294</v>
      </c>
      <c r="I12" s="2">
        <v>48274</v>
      </c>
      <c r="J12" s="2">
        <v>71567</v>
      </c>
      <c r="K12" s="2">
        <v>77971</v>
      </c>
      <c r="L12" s="2">
        <v>89080.28</v>
      </c>
      <c r="M12" s="2">
        <v>70830</v>
      </c>
      <c r="N12" s="2">
        <v>74197</v>
      </c>
      <c r="O12" s="2">
        <f t="shared" si="0"/>
        <v>89036.4</v>
      </c>
      <c r="P12" s="2">
        <v>90381.71142</v>
      </c>
      <c r="Q12" s="19">
        <f>(Q7+Q8+Q9+Q10)*0.0765</f>
        <v>100357.91577</v>
      </c>
      <c r="R12" s="19">
        <f>(R7+R8+R9+R10)*0.0765</f>
        <v>94765.76577000001</v>
      </c>
      <c r="S12" s="19">
        <f>(S7+S8+S9+S10)*0.0765</f>
        <v>94765.76577000001</v>
      </c>
      <c r="T12" s="75">
        <f t="shared" si="1"/>
        <v>0.048505989553876555</v>
      </c>
    </row>
    <row r="13" spans="1:20" ht="12.75">
      <c r="A13" t="s">
        <v>127</v>
      </c>
      <c r="B13" s="4">
        <v>51.24</v>
      </c>
      <c r="C13" s="2">
        <v>8189</v>
      </c>
      <c r="D13" s="2">
        <v>9511</v>
      </c>
      <c r="E13" s="2">
        <v>9463</v>
      </c>
      <c r="F13" s="2">
        <v>8738</v>
      </c>
      <c r="G13" s="2">
        <v>7878</v>
      </c>
      <c r="H13" s="2">
        <v>9108</v>
      </c>
      <c r="I13" s="2">
        <v>9491</v>
      </c>
      <c r="J13" s="2">
        <v>11082</v>
      </c>
      <c r="K13" s="2">
        <v>11697</v>
      </c>
      <c r="L13" s="2">
        <v>12293</v>
      </c>
      <c r="M13" s="2">
        <v>4431</v>
      </c>
      <c r="N13" s="2">
        <v>10152</v>
      </c>
      <c r="O13" s="2">
        <f t="shared" si="0"/>
        <v>12182.400000000001</v>
      </c>
      <c r="P13" s="2">
        <v>13700</v>
      </c>
      <c r="Q13" s="2">
        <v>13500</v>
      </c>
      <c r="R13" s="2">
        <v>13500</v>
      </c>
      <c r="S13" s="2">
        <v>13500</v>
      </c>
      <c r="T13" s="75">
        <f t="shared" si="1"/>
        <v>-0.014598540145985401</v>
      </c>
    </row>
    <row r="14" spans="2:20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5"/>
    </row>
    <row r="15" spans="1:21" ht="12.75">
      <c r="A15" t="s">
        <v>336</v>
      </c>
      <c r="B15" s="4">
        <v>52.2202</v>
      </c>
      <c r="C15" s="2"/>
      <c r="D15" s="2"/>
      <c r="E15" s="2"/>
      <c r="F15" s="2">
        <v>385</v>
      </c>
      <c r="G15" s="2">
        <v>691</v>
      </c>
      <c r="H15" s="2">
        <v>684</v>
      </c>
      <c r="I15" s="2">
        <v>744</v>
      </c>
      <c r="J15" s="2">
        <v>235</v>
      </c>
      <c r="K15" s="2">
        <v>400</v>
      </c>
      <c r="L15" s="2">
        <v>1131</v>
      </c>
      <c r="M15" s="2">
        <v>483</v>
      </c>
      <c r="N15" s="2">
        <v>0</v>
      </c>
      <c r="O15" s="2">
        <v>500</v>
      </c>
      <c r="P15" s="2">
        <v>500</v>
      </c>
      <c r="Q15" s="2">
        <v>500</v>
      </c>
      <c r="R15" s="2">
        <v>500</v>
      </c>
      <c r="S15" s="2">
        <v>500</v>
      </c>
      <c r="T15" s="75">
        <f t="shared" si="1"/>
        <v>0</v>
      </c>
      <c r="U15" s="2"/>
    </row>
    <row r="16" spans="1:20" ht="12.75">
      <c r="A16" t="s">
        <v>218</v>
      </c>
      <c r="B16" s="4">
        <v>52.2203</v>
      </c>
      <c r="C16" s="2">
        <v>7963</v>
      </c>
      <c r="D16" s="2">
        <v>7635</v>
      </c>
      <c r="E16" s="2">
        <v>6738</v>
      </c>
      <c r="F16" s="2">
        <v>7488</v>
      </c>
      <c r="G16" s="2">
        <v>7391</v>
      </c>
      <c r="H16" s="2">
        <v>6132</v>
      </c>
      <c r="I16" s="2">
        <v>6132</v>
      </c>
      <c r="J16" s="2">
        <v>5112</v>
      </c>
      <c r="K16" s="2">
        <v>6144</v>
      </c>
      <c r="L16" s="2">
        <v>6144</v>
      </c>
      <c r="M16" s="2">
        <v>6144</v>
      </c>
      <c r="N16" s="2">
        <v>5120</v>
      </c>
      <c r="O16" s="2">
        <f t="shared" si="0"/>
        <v>6144</v>
      </c>
      <c r="P16" s="2">
        <v>6200</v>
      </c>
      <c r="Q16" s="2">
        <v>6200</v>
      </c>
      <c r="R16" s="2">
        <v>6200</v>
      </c>
      <c r="S16" s="2">
        <v>6200</v>
      </c>
      <c r="T16" s="75">
        <f t="shared" si="1"/>
        <v>0</v>
      </c>
    </row>
    <row r="17" spans="1:20" ht="12.75">
      <c r="A17" t="s">
        <v>159</v>
      </c>
      <c r="B17" s="4">
        <v>52.2206</v>
      </c>
      <c r="C17" s="2">
        <v>2117</v>
      </c>
      <c r="D17" s="2">
        <v>4215</v>
      </c>
      <c r="E17" s="2">
        <v>1805</v>
      </c>
      <c r="F17" s="2">
        <v>1027</v>
      </c>
      <c r="G17" s="2">
        <v>325</v>
      </c>
      <c r="H17" s="2">
        <v>486</v>
      </c>
      <c r="I17" s="2">
        <v>225</v>
      </c>
      <c r="J17" s="2"/>
      <c r="K17" s="2">
        <v>741</v>
      </c>
      <c r="L17" s="2">
        <v>680</v>
      </c>
      <c r="M17" s="2">
        <v>291</v>
      </c>
      <c r="N17" s="2">
        <v>2500</v>
      </c>
      <c r="O17" s="2">
        <f t="shared" si="0"/>
        <v>3000</v>
      </c>
      <c r="P17" s="2">
        <v>500</v>
      </c>
      <c r="Q17" s="2">
        <v>500</v>
      </c>
      <c r="R17" s="2">
        <v>500</v>
      </c>
      <c r="S17" s="2">
        <v>500</v>
      </c>
      <c r="T17" s="75">
        <f t="shared" si="1"/>
        <v>0</v>
      </c>
    </row>
    <row r="18" spans="1:20" ht="12.75">
      <c r="A18" t="s">
        <v>219</v>
      </c>
      <c r="B18" s="4">
        <v>52.2209</v>
      </c>
      <c r="C18" s="5"/>
      <c r="D18" s="5"/>
      <c r="E18" s="2">
        <v>1000</v>
      </c>
      <c r="F18" s="2"/>
      <c r="G18" s="2">
        <v>1325</v>
      </c>
      <c r="H18" s="2">
        <v>1200</v>
      </c>
      <c r="I18" s="2">
        <v>1200</v>
      </c>
      <c r="J18" s="2">
        <v>1200</v>
      </c>
      <c r="K18" s="2">
        <v>1200</v>
      </c>
      <c r="L18" s="2">
        <v>1800</v>
      </c>
      <c r="M18" s="2">
        <v>3450</v>
      </c>
      <c r="N18" s="2">
        <v>3450</v>
      </c>
      <c r="O18" s="2">
        <v>3450</v>
      </c>
      <c r="P18" s="2">
        <v>3450</v>
      </c>
      <c r="Q18" s="2">
        <v>3600</v>
      </c>
      <c r="R18" s="2">
        <v>3600</v>
      </c>
      <c r="S18" s="2">
        <v>3600</v>
      </c>
      <c r="T18" s="75">
        <f t="shared" si="1"/>
        <v>0.043478260869565216</v>
      </c>
    </row>
    <row r="19" spans="1:20" ht="12.75">
      <c r="A19" t="s">
        <v>547</v>
      </c>
      <c r="B19" s="4">
        <v>52.2213</v>
      </c>
      <c r="C19" s="5"/>
      <c r="D19" s="5"/>
      <c r="E19" s="5"/>
      <c r="F19" s="5"/>
      <c r="G19" s="2">
        <v>320</v>
      </c>
      <c r="H19" s="2">
        <v>325</v>
      </c>
      <c r="I19" s="2">
        <v>425</v>
      </c>
      <c r="J19" s="2"/>
      <c r="K19" s="2"/>
      <c r="L19" s="2"/>
      <c r="M19" s="2"/>
      <c r="N19" s="2">
        <v>0</v>
      </c>
      <c r="O19" s="2">
        <v>500</v>
      </c>
      <c r="P19" s="2">
        <v>500</v>
      </c>
      <c r="Q19" s="2">
        <v>500</v>
      </c>
      <c r="R19" s="2">
        <v>500</v>
      </c>
      <c r="S19" s="2">
        <v>500</v>
      </c>
      <c r="T19" s="75">
        <f t="shared" si="1"/>
        <v>0</v>
      </c>
    </row>
    <row r="20" spans="1:20" ht="12.75">
      <c r="A20" t="s">
        <v>741</v>
      </c>
      <c r="B20" s="4">
        <v>52.2216</v>
      </c>
      <c r="C20" s="5"/>
      <c r="D20" s="5"/>
      <c r="E20" s="5"/>
      <c r="F20" s="5"/>
      <c r="G20" s="2"/>
      <c r="H20" s="2"/>
      <c r="I20" s="2"/>
      <c r="J20" s="2"/>
      <c r="K20" s="2">
        <v>4020</v>
      </c>
      <c r="L20" s="2"/>
      <c r="M20" s="2">
        <v>4150</v>
      </c>
      <c r="N20" s="2">
        <v>0</v>
      </c>
      <c r="O20" s="2">
        <v>4200</v>
      </c>
      <c r="P20" s="2">
        <v>4200</v>
      </c>
      <c r="Q20" s="2">
        <v>5155</v>
      </c>
      <c r="R20" s="2">
        <v>5155</v>
      </c>
      <c r="S20" s="2">
        <v>5155</v>
      </c>
      <c r="T20" s="75"/>
    </row>
    <row r="21" spans="1:20" ht="12.75">
      <c r="A21" t="s">
        <v>115</v>
      </c>
      <c r="B21" s="4">
        <v>52.32</v>
      </c>
      <c r="C21" s="2">
        <v>4119</v>
      </c>
      <c r="D21" s="2">
        <v>3588</v>
      </c>
      <c r="E21" s="2">
        <v>3658</v>
      </c>
      <c r="F21" s="2">
        <v>4571</v>
      </c>
      <c r="G21" s="2">
        <v>4603</v>
      </c>
      <c r="H21" s="2">
        <v>3932</v>
      </c>
      <c r="I21" s="2">
        <v>6313</v>
      </c>
      <c r="J21" s="2">
        <v>4807</v>
      </c>
      <c r="K21" s="2">
        <v>4753</v>
      </c>
      <c r="L21" s="2">
        <v>5879</v>
      </c>
      <c r="M21" s="2">
        <v>6187</v>
      </c>
      <c r="N21" s="2">
        <v>3679</v>
      </c>
      <c r="O21" s="2">
        <f t="shared" si="0"/>
        <v>4414.799999999999</v>
      </c>
      <c r="P21" s="2">
        <v>4500</v>
      </c>
      <c r="Q21" s="2">
        <v>4500</v>
      </c>
      <c r="R21" s="2">
        <v>4500</v>
      </c>
      <c r="S21" s="2">
        <v>4500</v>
      </c>
      <c r="T21" s="75">
        <f t="shared" si="1"/>
        <v>0</v>
      </c>
    </row>
    <row r="22" spans="1:20" ht="12.75">
      <c r="A22" t="s">
        <v>116</v>
      </c>
      <c r="B22" s="4">
        <v>52.321</v>
      </c>
      <c r="C22" s="2">
        <v>1942</v>
      </c>
      <c r="D22" s="2">
        <v>2097</v>
      </c>
      <c r="E22" s="2">
        <v>1792</v>
      </c>
      <c r="F22" s="2">
        <v>1506</v>
      </c>
      <c r="G22" s="2">
        <v>1873</v>
      </c>
      <c r="H22" s="2">
        <v>2049</v>
      </c>
      <c r="I22" s="2">
        <v>1794</v>
      </c>
      <c r="J22" s="2">
        <v>1063</v>
      </c>
      <c r="K22" s="2">
        <v>1944</v>
      </c>
      <c r="L22" s="2">
        <v>681</v>
      </c>
      <c r="M22" s="2">
        <v>1118</v>
      </c>
      <c r="N22" s="2">
        <v>792</v>
      </c>
      <c r="O22" s="2">
        <f t="shared" si="0"/>
        <v>950.4000000000001</v>
      </c>
      <c r="P22" s="2">
        <v>1650</v>
      </c>
      <c r="Q22" s="2">
        <v>1650</v>
      </c>
      <c r="R22" s="2">
        <v>1200</v>
      </c>
      <c r="S22" s="2">
        <v>1200</v>
      </c>
      <c r="T22" s="75">
        <f t="shared" si="1"/>
        <v>-0.2727272727272727</v>
      </c>
    </row>
    <row r="23" spans="1:20" ht="12.75">
      <c r="A23" t="s">
        <v>128</v>
      </c>
      <c r="B23" s="4">
        <v>52.35</v>
      </c>
      <c r="C23" s="2">
        <v>3653</v>
      </c>
      <c r="D23" s="2">
        <v>3892</v>
      </c>
      <c r="E23" s="2">
        <v>3225</v>
      </c>
      <c r="F23" s="2">
        <v>1049</v>
      </c>
      <c r="G23" s="2">
        <v>2455</v>
      </c>
      <c r="H23" s="2">
        <v>2768</v>
      </c>
      <c r="I23" s="2">
        <f>3697+141</f>
        <v>3838</v>
      </c>
      <c r="J23" s="2">
        <v>2137</v>
      </c>
      <c r="K23" s="2">
        <v>2550</v>
      </c>
      <c r="L23" s="2">
        <v>2432</v>
      </c>
      <c r="M23" s="2">
        <v>1859</v>
      </c>
      <c r="N23" s="2">
        <v>1355</v>
      </c>
      <c r="O23" s="2">
        <v>2500</v>
      </c>
      <c r="P23" s="2">
        <v>2800</v>
      </c>
      <c r="Q23" s="2">
        <v>2800</v>
      </c>
      <c r="R23" s="2">
        <v>2500</v>
      </c>
      <c r="S23" s="2">
        <v>2500</v>
      </c>
      <c r="T23" s="75">
        <f t="shared" si="1"/>
        <v>-0.10714285714285714</v>
      </c>
    </row>
    <row r="24" spans="1:20" ht="12.75">
      <c r="A24" t="s">
        <v>118</v>
      </c>
      <c r="B24" s="4">
        <v>52.3602</v>
      </c>
      <c r="C24" s="2">
        <v>5550</v>
      </c>
      <c r="D24" s="2">
        <v>6635</v>
      </c>
      <c r="E24" s="2">
        <v>135</v>
      </c>
      <c r="F24" s="2">
        <v>8095</v>
      </c>
      <c r="G24" s="2">
        <v>90</v>
      </c>
      <c r="H24" s="2">
        <v>1200</v>
      </c>
      <c r="I24" s="2">
        <v>880</v>
      </c>
      <c r="J24" s="2">
        <v>1630</v>
      </c>
      <c r="K24" s="2">
        <v>859</v>
      </c>
      <c r="L24" s="2">
        <v>1605</v>
      </c>
      <c r="M24" s="2">
        <v>857</v>
      </c>
      <c r="N24" s="2">
        <v>1475</v>
      </c>
      <c r="O24" s="2">
        <v>1600</v>
      </c>
      <c r="P24" s="2">
        <v>1600</v>
      </c>
      <c r="Q24" s="2">
        <v>1600</v>
      </c>
      <c r="R24" s="2">
        <v>1600</v>
      </c>
      <c r="S24" s="2">
        <v>1600</v>
      </c>
      <c r="T24" s="75">
        <f t="shared" si="1"/>
        <v>0</v>
      </c>
    </row>
    <row r="25" spans="1:20" ht="12.75">
      <c r="A25" t="s">
        <v>129</v>
      </c>
      <c r="B25" s="4">
        <v>52.37</v>
      </c>
      <c r="C25" s="2"/>
      <c r="D25" s="2"/>
      <c r="E25" s="2">
        <v>960</v>
      </c>
      <c r="F25" s="2">
        <v>2711</v>
      </c>
      <c r="G25" s="2">
        <v>2550</v>
      </c>
      <c r="H25" s="2">
        <v>2791</v>
      </c>
      <c r="I25" s="2"/>
      <c r="J25" s="2">
        <v>325</v>
      </c>
      <c r="K25" s="2">
        <v>3018</v>
      </c>
      <c r="L25" s="2">
        <v>2880</v>
      </c>
      <c r="M25" s="2">
        <v>2500</v>
      </c>
      <c r="N25" s="2">
        <v>2586</v>
      </c>
      <c r="O25" s="2">
        <v>3000</v>
      </c>
      <c r="P25" s="2">
        <v>3000</v>
      </c>
      <c r="Q25" s="2">
        <v>3000</v>
      </c>
      <c r="R25" s="2">
        <v>3000</v>
      </c>
      <c r="S25" s="2">
        <v>3000</v>
      </c>
      <c r="T25" s="75"/>
    </row>
    <row r="26" spans="1:20" ht="12.75">
      <c r="A26" t="s">
        <v>334</v>
      </c>
      <c r="B26" s="4">
        <v>52.38</v>
      </c>
      <c r="C26" s="2"/>
      <c r="D26" s="2"/>
      <c r="E26" s="2">
        <v>7850</v>
      </c>
      <c r="F26" s="2"/>
      <c r="G26" s="2">
        <v>8100</v>
      </c>
      <c r="H26" s="2">
        <v>8100</v>
      </c>
      <c r="I26" s="2">
        <v>8100</v>
      </c>
      <c r="J26" s="2">
        <v>8100</v>
      </c>
      <c r="K26" s="2">
        <v>8100</v>
      </c>
      <c r="L26" s="2">
        <v>8100</v>
      </c>
      <c r="M26" s="2">
        <v>9500</v>
      </c>
      <c r="N26" s="2">
        <v>9500</v>
      </c>
      <c r="O26" s="2">
        <v>9500</v>
      </c>
      <c r="P26" s="2">
        <v>9500</v>
      </c>
      <c r="Q26" s="2">
        <v>10900</v>
      </c>
      <c r="R26" s="2">
        <v>10900</v>
      </c>
      <c r="S26" s="2">
        <v>10900</v>
      </c>
      <c r="T26" s="75">
        <f t="shared" si="1"/>
        <v>0.14736842105263157</v>
      </c>
    </row>
    <row r="27" spans="15:20" ht="12.75">
      <c r="O27" s="2"/>
      <c r="T27" s="75"/>
    </row>
    <row r="28" spans="1:20" ht="12.75">
      <c r="A28" t="s">
        <v>122</v>
      </c>
      <c r="B28" s="4">
        <v>53.12</v>
      </c>
      <c r="K28" s="2">
        <v>456</v>
      </c>
      <c r="L28" s="2">
        <v>2176</v>
      </c>
      <c r="M28" s="2">
        <v>2393</v>
      </c>
      <c r="N28" s="2">
        <v>1655</v>
      </c>
      <c r="O28" s="2">
        <f t="shared" si="0"/>
        <v>1986</v>
      </c>
      <c r="P28">
        <v>2300</v>
      </c>
      <c r="Q28" s="2">
        <v>2300</v>
      </c>
      <c r="R28" s="2">
        <v>2300</v>
      </c>
      <c r="S28" s="2">
        <v>2300</v>
      </c>
      <c r="T28" s="75"/>
    </row>
    <row r="29" spans="1:20" ht="12.75">
      <c r="A29" t="s">
        <v>174</v>
      </c>
      <c r="B29" s="4">
        <v>53.1702</v>
      </c>
      <c r="C29">
        <v>16</v>
      </c>
      <c r="D29">
        <v>430</v>
      </c>
      <c r="E29" s="2">
        <v>1259</v>
      </c>
      <c r="F29" s="2">
        <v>781</v>
      </c>
      <c r="G29" s="2">
        <v>391</v>
      </c>
      <c r="H29" s="2">
        <v>555</v>
      </c>
      <c r="I29" s="2">
        <f>431+253</f>
        <v>684</v>
      </c>
      <c r="J29" s="2">
        <v>706</v>
      </c>
      <c r="K29" s="2">
        <v>766</v>
      </c>
      <c r="L29" s="2">
        <v>658</v>
      </c>
      <c r="M29" s="2">
        <v>462</v>
      </c>
      <c r="N29" s="2">
        <v>327</v>
      </c>
      <c r="O29" s="2">
        <f t="shared" si="0"/>
        <v>392.40000000000003</v>
      </c>
      <c r="P29" s="2">
        <v>600</v>
      </c>
      <c r="Q29" s="2">
        <v>600</v>
      </c>
      <c r="R29" s="2">
        <v>600</v>
      </c>
      <c r="S29" s="2">
        <v>600</v>
      </c>
      <c r="T29" s="75">
        <f t="shared" si="1"/>
        <v>0</v>
      </c>
    </row>
    <row r="30" spans="1:20" ht="12.75">
      <c r="A30" t="s">
        <v>148</v>
      </c>
      <c r="B30" s="4">
        <v>53.1704</v>
      </c>
      <c r="C30" s="2">
        <v>560</v>
      </c>
      <c r="D30" s="2">
        <v>68</v>
      </c>
      <c r="E30" s="2">
        <v>409</v>
      </c>
      <c r="F30" s="2">
        <v>408</v>
      </c>
      <c r="G30" s="2">
        <v>199</v>
      </c>
      <c r="H30" s="2"/>
      <c r="I30" s="2">
        <v>102</v>
      </c>
      <c r="J30" s="2">
        <v>259</v>
      </c>
      <c r="K30" s="2">
        <v>30</v>
      </c>
      <c r="L30" s="2">
        <v>120</v>
      </c>
      <c r="M30" s="2">
        <v>12</v>
      </c>
      <c r="N30" s="2">
        <v>104</v>
      </c>
      <c r="O30" s="2">
        <f t="shared" si="0"/>
        <v>124.80000000000001</v>
      </c>
      <c r="P30" s="2">
        <v>200</v>
      </c>
      <c r="Q30" s="2">
        <v>200</v>
      </c>
      <c r="R30" s="2">
        <v>200</v>
      </c>
      <c r="S30" s="2">
        <v>200</v>
      </c>
      <c r="T30" s="75">
        <f t="shared" si="1"/>
        <v>0</v>
      </c>
    </row>
    <row r="31" spans="1:21" ht="12.75">
      <c r="A31" t="s">
        <v>216</v>
      </c>
      <c r="B31" s="4">
        <v>53.1706</v>
      </c>
      <c r="C31" s="2">
        <v>20084</v>
      </c>
      <c r="D31" s="2">
        <v>18199</v>
      </c>
      <c r="E31" s="2">
        <v>18246</v>
      </c>
      <c r="F31" s="2">
        <v>16894</v>
      </c>
      <c r="G31" s="2">
        <v>17593</v>
      </c>
      <c r="H31" s="2">
        <v>19716</v>
      </c>
      <c r="I31" s="2">
        <f>16881+461</f>
        <v>17342</v>
      </c>
      <c r="J31" s="2">
        <v>23910</v>
      </c>
      <c r="K31" s="2">
        <f>22379+239</f>
        <v>22618</v>
      </c>
      <c r="L31" s="2">
        <f>24761+323</f>
        <v>25084</v>
      </c>
      <c r="M31" s="2">
        <v>31232</v>
      </c>
      <c r="N31" s="2">
        <v>14237</v>
      </c>
      <c r="O31" s="2">
        <f t="shared" si="0"/>
        <v>17084.4</v>
      </c>
      <c r="P31" s="2">
        <v>25000</v>
      </c>
      <c r="Q31" s="2">
        <v>25000</v>
      </c>
      <c r="R31" s="2">
        <v>25000</v>
      </c>
      <c r="S31" s="2">
        <v>25000</v>
      </c>
      <c r="T31" s="75">
        <f t="shared" si="1"/>
        <v>0</v>
      </c>
      <c r="U31" s="10"/>
    </row>
    <row r="32" spans="1:20" ht="12.75">
      <c r="A32" t="s">
        <v>123</v>
      </c>
      <c r="B32" s="4">
        <v>53.171</v>
      </c>
      <c r="C32" s="2">
        <v>4252</v>
      </c>
      <c r="D32" s="2">
        <v>2371</v>
      </c>
      <c r="E32" s="2">
        <v>3954</v>
      </c>
      <c r="F32" s="2">
        <v>4250</v>
      </c>
      <c r="G32" s="2">
        <v>2707</v>
      </c>
      <c r="H32" s="2">
        <v>2825</v>
      </c>
      <c r="I32" s="2">
        <f>1967+308</f>
        <v>2275</v>
      </c>
      <c r="J32" s="2">
        <v>1855</v>
      </c>
      <c r="K32" s="2">
        <f>1617+666</f>
        <v>2283</v>
      </c>
      <c r="L32" s="2">
        <v>2482</v>
      </c>
      <c r="M32" s="2">
        <v>1346</v>
      </c>
      <c r="N32" s="2">
        <v>1317</v>
      </c>
      <c r="O32" s="2">
        <f t="shared" si="0"/>
        <v>1580.3999999999999</v>
      </c>
      <c r="P32" s="2">
        <v>2000</v>
      </c>
      <c r="Q32" s="2">
        <v>2000</v>
      </c>
      <c r="R32" s="2">
        <v>2000</v>
      </c>
      <c r="S32" s="2">
        <v>2000</v>
      </c>
      <c r="T32" s="75">
        <f t="shared" si="1"/>
        <v>0</v>
      </c>
    </row>
    <row r="33" spans="1:20" ht="12.75" hidden="1">
      <c r="A33" t="s">
        <v>572</v>
      </c>
      <c r="B33" s="4">
        <v>53.1727</v>
      </c>
      <c r="C33" s="2"/>
      <c r="D33" s="2"/>
      <c r="E33" s="2"/>
      <c r="F33" s="2"/>
      <c r="G33" s="2"/>
      <c r="H33" s="2"/>
      <c r="I33" s="2"/>
      <c r="J33" s="2">
        <v>1103</v>
      </c>
      <c r="K33" s="2"/>
      <c r="L33" s="2"/>
      <c r="M33" s="2"/>
      <c r="N33" s="2"/>
      <c r="O33" s="2"/>
      <c r="P33" s="2"/>
      <c r="Q33" s="2"/>
      <c r="R33" s="2"/>
      <c r="S33" s="2"/>
      <c r="T33" s="75"/>
    </row>
    <row r="34" spans="1:20" ht="12.75">
      <c r="A34" t="s">
        <v>201</v>
      </c>
      <c r="B34" s="4">
        <v>53.173</v>
      </c>
      <c r="C34" s="2">
        <v>5717</v>
      </c>
      <c r="D34" s="2">
        <v>6477</v>
      </c>
      <c r="E34" s="2">
        <v>5878</v>
      </c>
      <c r="F34" s="2">
        <v>6229</v>
      </c>
      <c r="G34" s="2">
        <v>5779</v>
      </c>
      <c r="H34" s="2">
        <v>5599</v>
      </c>
      <c r="I34" s="2">
        <v>4843</v>
      </c>
      <c r="J34" s="2">
        <v>6345</v>
      </c>
      <c r="K34" s="2">
        <f>7165+884</f>
        <v>8049</v>
      </c>
      <c r="L34" s="2">
        <v>7925</v>
      </c>
      <c r="M34" s="2">
        <v>7519</v>
      </c>
      <c r="N34" s="2">
        <v>7222</v>
      </c>
      <c r="O34" s="2">
        <v>8000</v>
      </c>
      <c r="P34" s="2">
        <v>8000</v>
      </c>
      <c r="Q34" s="2">
        <v>8000</v>
      </c>
      <c r="R34" s="2">
        <v>8000</v>
      </c>
      <c r="S34" s="2">
        <v>8000</v>
      </c>
      <c r="T34" s="75">
        <f t="shared" si="1"/>
        <v>0</v>
      </c>
    </row>
    <row r="35" spans="1:20" ht="12.75">
      <c r="A35" t="s">
        <v>162</v>
      </c>
      <c r="B35" s="4">
        <v>53.175</v>
      </c>
      <c r="C35" s="2">
        <v>7281</v>
      </c>
      <c r="D35" s="2">
        <v>8432</v>
      </c>
      <c r="E35" s="2">
        <v>6194</v>
      </c>
      <c r="F35" s="2">
        <v>9604</v>
      </c>
      <c r="G35" s="2">
        <v>6092</v>
      </c>
      <c r="H35" s="2">
        <v>5563</v>
      </c>
      <c r="I35" s="2">
        <v>8891</v>
      </c>
      <c r="J35" s="2">
        <v>4457</v>
      </c>
      <c r="K35" s="2">
        <v>6972</v>
      </c>
      <c r="L35" s="2">
        <v>9974</v>
      </c>
      <c r="M35" s="2">
        <v>14692</v>
      </c>
      <c r="N35" s="2">
        <v>15008</v>
      </c>
      <c r="O35" s="2">
        <f t="shared" si="0"/>
        <v>18009.6</v>
      </c>
      <c r="P35" s="2">
        <v>7000</v>
      </c>
      <c r="Q35" s="2">
        <v>12000</v>
      </c>
      <c r="R35" s="2">
        <v>12000</v>
      </c>
      <c r="S35" s="2">
        <v>12000</v>
      </c>
      <c r="T35" s="75">
        <f t="shared" si="1"/>
        <v>0.7142857142857143</v>
      </c>
    </row>
    <row r="36" spans="1:20" ht="12.75">
      <c r="A36" t="s">
        <v>151</v>
      </c>
      <c r="B36" s="4">
        <v>53.176</v>
      </c>
      <c r="C36" s="2">
        <v>511</v>
      </c>
      <c r="D36" s="2">
        <v>815</v>
      </c>
      <c r="E36" s="2">
        <v>827</v>
      </c>
      <c r="F36" s="2">
        <v>694</v>
      </c>
      <c r="G36" s="2">
        <v>615</v>
      </c>
      <c r="H36" s="2">
        <v>462</v>
      </c>
      <c r="I36" s="2">
        <v>380</v>
      </c>
      <c r="J36" s="2">
        <v>887</v>
      </c>
      <c r="K36" s="2">
        <v>704</v>
      </c>
      <c r="L36" s="2">
        <v>1018</v>
      </c>
      <c r="M36" s="2">
        <v>961</v>
      </c>
      <c r="N36" s="2">
        <v>653</v>
      </c>
      <c r="O36" s="2">
        <f t="shared" si="0"/>
        <v>783.5999999999999</v>
      </c>
      <c r="P36" s="2">
        <v>1000</v>
      </c>
      <c r="Q36" s="2">
        <v>1000</v>
      </c>
      <c r="R36" s="2">
        <v>1000</v>
      </c>
      <c r="S36" s="2">
        <v>1000</v>
      </c>
      <c r="T36" s="75">
        <f t="shared" si="1"/>
        <v>0</v>
      </c>
    </row>
    <row r="37" spans="1:20" ht="12.75">
      <c r="A37" t="s">
        <v>152</v>
      </c>
      <c r="B37" s="4">
        <v>53.177</v>
      </c>
      <c r="C37" s="2">
        <v>1239</v>
      </c>
      <c r="D37" s="2">
        <v>1323</v>
      </c>
      <c r="E37" s="2">
        <v>1798</v>
      </c>
      <c r="F37" s="2">
        <v>1163</v>
      </c>
      <c r="G37" s="2">
        <v>893</v>
      </c>
      <c r="H37" s="2">
        <v>1303</v>
      </c>
      <c r="I37" s="2">
        <v>1531</v>
      </c>
      <c r="J37" s="2">
        <v>3311</v>
      </c>
      <c r="K37" s="2">
        <v>3842</v>
      </c>
      <c r="L37" s="2">
        <v>4152</v>
      </c>
      <c r="M37" s="2">
        <v>3282</v>
      </c>
      <c r="N37" s="2">
        <v>3010</v>
      </c>
      <c r="O37" s="2">
        <f t="shared" si="0"/>
        <v>3612</v>
      </c>
      <c r="P37" s="2">
        <v>2500</v>
      </c>
      <c r="Q37" s="2">
        <v>3000</v>
      </c>
      <c r="R37" s="2">
        <v>3000</v>
      </c>
      <c r="S37" s="2">
        <v>3000</v>
      </c>
      <c r="T37" s="75">
        <f t="shared" si="1"/>
        <v>0.2</v>
      </c>
    </row>
    <row r="38" spans="1:20" ht="12.75">
      <c r="A38" t="s">
        <v>165</v>
      </c>
      <c r="B38" s="4">
        <v>53.178</v>
      </c>
      <c r="C38" s="2">
        <v>572</v>
      </c>
      <c r="D38" s="2">
        <v>623</v>
      </c>
      <c r="E38" s="2">
        <v>726</v>
      </c>
      <c r="F38" s="2">
        <v>479</v>
      </c>
      <c r="G38" s="2">
        <v>274</v>
      </c>
      <c r="H38" s="2">
        <v>420</v>
      </c>
      <c r="I38" s="2">
        <v>428</v>
      </c>
      <c r="J38" s="2">
        <v>427</v>
      </c>
      <c r="K38" s="2">
        <v>1194</v>
      </c>
      <c r="L38" s="2">
        <v>280</v>
      </c>
      <c r="M38" s="2">
        <v>491</v>
      </c>
      <c r="N38" s="2">
        <v>589</v>
      </c>
      <c r="O38" s="2">
        <f t="shared" si="0"/>
        <v>706.8</v>
      </c>
      <c r="P38" s="2">
        <v>500</v>
      </c>
      <c r="Q38" s="2">
        <v>500</v>
      </c>
      <c r="R38" s="2">
        <v>500</v>
      </c>
      <c r="S38" s="2">
        <v>500</v>
      </c>
      <c r="T38" s="75">
        <f t="shared" si="1"/>
        <v>0</v>
      </c>
    </row>
    <row r="39" spans="1:20" ht="12.75">
      <c r="A39" t="s">
        <v>153</v>
      </c>
      <c r="B39" s="4">
        <v>53.179</v>
      </c>
      <c r="C39" s="2">
        <v>1174</v>
      </c>
      <c r="D39" s="2">
        <v>1009</v>
      </c>
      <c r="E39" s="2">
        <v>678</v>
      </c>
      <c r="F39" s="2">
        <v>4060</v>
      </c>
      <c r="G39" s="2">
        <v>848</v>
      </c>
      <c r="H39" s="2">
        <v>1175</v>
      </c>
      <c r="I39" s="2">
        <v>1593</v>
      </c>
      <c r="J39" s="2">
        <v>2273</v>
      </c>
      <c r="K39" s="2">
        <v>2586</v>
      </c>
      <c r="L39" s="2">
        <v>3648</v>
      </c>
      <c r="M39" s="2">
        <v>1864</v>
      </c>
      <c r="N39" s="2">
        <v>1834</v>
      </c>
      <c r="O39" s="2">
        <f t="shared" si="0"/>
        <v>2200.8</v>
      </c>
      <c r="P39" s="2">
        <v>2500</v>
      </c>
      <c r="Q39" s="2">
        <v>2500</v>
      </c>
      <c r="R39" s="2">
        <v>2500</v>
      </c>
      <c r="S39" s="2">
        <v>2500</v>
      </c>
      <c r="T39" s="75">
        <f t="shared" si="1"/>
        <v>0</v>
      </c>
    </row>
    <row r="40" spans="1:20" ht="12.75">
      <c r="A40" t="s">
        <v>215</v>
      </c>
      <c r="B40" s="4">
        <v>53.18</v>
      </c>
      <c r="C40" s="2">
        <v>3283</v>
      </c>
      <c r="D40" s="2">
        <v>5753</v>
      </c>
      <c r="E40" s="2">
        <v>6580</v>
      </c>
      <c r="F40" s="2">
        <v>4956</v>
      </c>
      <c r="G40" s="2">
        <v>6813</v>
      </c>
      <c r="H40" s="2">
        <v>8735</v>
      </c>
      <c r="I40" s="2">
        <v>14691</v>
      </c>
      <c r="J40" s="2">
        <v>20173</v>
      </c>
      <c r="K40" s="2">
        <v>21855</v>
      </c>
      <c r="L40" s="2">
        <v>37796</v>
      </c>
      <c r="M40" s="2">
        <v>21261</v>
      </c>
      <c r="N40" s="2">
        <v>22096</v>
      </c>
      <c r="O40" s="2">
        <f t="shared" si="0"/>
        <v>26515.199999999997</v>
      </c>
      <c r="P40" s="2">
        <v>25000</v>
      </c>
      <c r="Q40" s="2">
        <v>25000</v>
      </c>
      <c r="R40" s="2">
        <v>25000</v>
      </c>
      <c r="S40" s="2">
        <v>25000</v>
      </c>
      <c r="T40" s="75">
        <f t="shared" si="1"/>
        <v>0</v>
      </c>
    </row>
    <row r="41" spans="1:20" ht="12.75">
      <c r="A41" t="s">
        <v>832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>
        <v>292</v>
      </c>
      <c r="M41" s="2"/>
      <c r="N41" s="2"/>
      <c r="O41" s="2"/>
      <c r="P41" s="2"/>
      <c r="Q41" s="2"/>
      <c r="R41" s="2"/>
      <c r="S41" s="2"/>
      <c r="T41" s="75"/>
    </row>
    <row r="42" spans="2:20" ht="12.75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75"/>
    </row>
    <row r="43" spans="1:21" ht="12.75">
      <c r="A43" t="s">
        <v>335</v>
      </c>
      <c r="B43" s="4">
        <v>54.22</v>
      </c>
      <c r="C43" s="2"/>
      <c r="D43" s="2"/>
      <c r="E43" s="2">
        <v>21907</v>
      </c>
      <c r="F43" s="2">
        <v>1800</v>
      </c>
      <c r="G43" s="2">
        <v>59732</v>
      </c>
      <c r="H43" s="2">
        <v>62046</v>
      </c>
      <c r="I43" s="2">
        <v>62304</v>
      </c>
      <c r="J43" s="2"/>
      <c r="K43" s="2">
        <v>1446</v>
      </c>
      <c r="L43" s="2">
        <f>108442+1299</f>
        <v>109741</v>
      </c>
      <c r="M43" s="2">
        <v>40071</v>
      </c>
      <c r="N43" s="2">
        <v>116156</v>
      </c>
      <c r="O43" s="2">
        <v>208000</v>
      </c>
      <c r="P43" s="2">
        <v>208000</v>
      </c>
      <c r="Q43" s="19">
        <v>120000</v>
      </c>
      <c r="R43" s="19">
        <v>120000</v>
      </c>
      <c r="S43" s="19">
        <v>120000</v>
      </c>
      <c r="T43" s="75"/>
      <c r="U43" t="s">
        <v>463</v>
      </c>
    </row>
    <row r="44" spans="1:20" ht="12.75">
      <c r="A44" t="s">
        <v>532</v>
      </c>
      <c r="B44" s="4"/>
      <c r="C44" s="2"/>
      <c r="D44" s="2"/>
      <c r="E44" s="2"/>
      <c r="F44" s="2"/>
      <c r="G44" s="2"/>
      <c r="H44" s="2"/>
      <c r="I44" s="2"/>
      <c r="J44" s="2"/>
      <c r="K44" s="2">
        <v>150</v>
      </c>
      <c r="L44" s="2"/>
      <c r="M44" s="2"/>
      <c r="N44" s="2"/>
      <c r="O44" s="2"/>
      <c r="P44" s="2"/>
      <c r="Q44" s="2"/>
      <c r="R44" s="2"/>
      <c r="S44" s="2"/>
      <c r="T44" s="75"/>
    </row>
    <row r="45" spans="1:20" ht="12.75" hidden="1">
      <c r="A45" t="s">
        <v>533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75"/>
    </row>
    <row r="46" spans="1:20" ht="12.75">
      <c r="A46" t="s">
        <v>588</v>
      </c>
      <c r="B46" s="4">
        <v>54.23</v>
      </c>
      <c r="C46" s="2"/>
      <c r="D46" s="2"/>
      <c r="E46" s="2"/>
      <c r="F46" s="2"/>
      <c r="G46" s="2"/>
      <c r="H46" s="2"/>
      <c r="I46" s="2"/>
      <c r="J46" s="2">
        <v>2536</v>
      </c>
      <c r="K46" s="2"/>
      <c r="L46" s="2"/>
      <c r="M46" s="2"/>
      <c r="N46" s="2"/>
      <c r="O46" s="2"/>
      <c r="P46" s="2"/>
      <c r="Q46" s="2"/>
      <c r="R46" s="2"/>
      <c r="S46" s="2"/>
      <c r="T46" s="75"/>
    </row>
    <row r="47" spans="1:21" ht="12.75">
      <c r="A47" t="s">
        <v>737</v>
      </c>
      <c r="B47" s="4"/>
      <c r="C47" s="2"/>
      <c r="D47" s="2"/>
      <c r="E47" s="2"/>
      <c r="F47" s="2"/>
      <c r="G47" s="2"/>
      <c r="H47" s="2"/>
      <c r="I47" s="2"/>
      <c r="J47" s="2"/>
      <c r="K47" s="2">
        <v>42688</v>
      </c>
      <c r="L47" s="2"/>
      <c r="M47" s="2"/>
      <c r="N47" s="2"/>
      <c r="O47" s="2"/>
      <c r="P47" s="2"/>
      <c r="Q47" s="2"/>
      <c r="R47" s="2"/>
      <c r="S47" s="2"/>
      <c r="T47" s="75"/>
      <c r="U47" s="6"/>
    </row>
    <row r="48" spans="1:21" ht="12.75">
      <c r="A48" t="s">
        <v>940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26000</v>
      </c>
      <c r="R48" s="2">
        <v>26000</v>
      </c>
      <c r="S48" s="2"/>
      <c r="T48" s="75"/>
      <c r="U48" t="s">
        <v>464</v>
      </c>
    </row>
    <row r="49" spans="1:20" ht="12.75" hidden="1">
      <c r="A49" t="s">
        <v>587</v>
      </c>
      <c r="B49" s="4">
        <v>54.2623</v>
      </c>
      <c r="C49" s="2"/>
      <c r="D49" s="2"/>
      <c r="E49" s="2"/>
      <c r="F49" s="2"/>
      <c r="G49" s="2"/>
      <c r="H49" s="2"/>
      <c r="I49" s="2"/>
      <c r="J49" s="2">
        <v>67577</v>
      </c>
      <c r="K49" s="2"/>
      <c r="L49" s="2"/>
      <c r="M49" s="2"/>
      <c r="N49" s="2"/>
      <c r="O49" s="2"/>
      <c r="P49" s="2"/>
      <c r="Q49" s="2"/>
      <c r="R49" s="2"/>
      <c r="S49" s="2"/>
      <c r="T49" s="75"/>
    </row>
    <row r="50" spans="1:20" ht="12.75" hidden="1">
      <c r="A50" t="s">
        <v>337</v>
      </c>
      <c r="B50" s="4">
        <v>54.25</v>
      </c>
      <c r="C50" s="2"/>
      <c r="D50" s="2"/>
      <c r="E50" s="2"/>
      <c r="F50" s="2">
        <v>13326</v>
      </c>
      <c r="G50" s="2"/>
      <c r="H50" s="2"/>
      <c r="I50" s="2">
        <v>4145</v>
      </c>
      <c r="J50" s="2">
        <v>2805</v>
      </c>
      <c r="K50" s="2"/>
      <c r="L50" s="2"/>
      <c r="M50" s="2"/>
      <c r="N50" s="2"/>
      <c r="O50" s="2"/>
      <c r="P50" s="2"/>
      <c r="Q50" s="2"/>
      <c r="R50" s="2"/>
      <c r="S50" s="2"/>
      <c r="T50" s="75"/>
    </row>
    <row r="51" spans="1:20" ht="11.25" customHeight="1" hidden="1">
      <c r="A51" t="s">
        <v>307</v>
      </c>
      <c r="B51" s="4">
        <v>54.26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75"/>
    </row>
    <row r="52" spans="1:21" ht="12.75" hidden="1">
      <c r="A52" t="s">
        <v>660</v>
      </c>
      <c r="B52" s="4">
        <v>54.2621</v>
      </c>
      <c r="C52" s="2"/>
      <c r="D52" s="2"/>
      <c r="E52" s="2"/>
      <c r="F52" s="2"/>
      <c r="G52" s="2"/>
      <c r="H52" s="2"/>
      <c r="I52" s="2"/>
      <c r="J52" s="2">
        <v>7470</v>
      </c>
      <c r="K52" s="2"/>
      <c r="L52" s="2"/>
      <c r="M52" s="2"/>
      <c r="N52" s="2"/>
      <c r="O52" s="2"/>
      <c r="P52" s="2"/>
      <c r="Q52" s="2"/>
      <c r="R52" s="2"/>
      <c r="S52" s="2"/>
      <c r="T52" s="75"/>
      <c r="U52" t="s">
        <v>686</v>
      </c>
    </row>
    <row r="53" spans="1:21" ht="12.75" hidden="1">
      <c r="A53" t="s">
        <v>167</v>
      </c>
      <c r="B53" s="4">
        <v>58.12</v>
      </c>
      <c r="C53" s="2"/>
      <c r="D53" s="2">
        <v>36592</v>
      </c>
      <c r="E53" s="2">
        <v>3048</v>
      </c>
      <c r="F53" s="2">
        <v>106214</v>
      </c>
      <c r="G53" s="2">
        <v>45774</v>
      </c>
      <c r="H53" s="2">
        <v>24046</v>
      </c>
      <c r="I53" s="2">
        <v>24046</v>
      </c>
      <c r="J53" s="2">
        <v>24050</v>
      </c>
      <c r="K53" s="2"/>
      <c r="L53" s="2"/>
      <c r="M53" s="2"/>
      <c r="N53" s="2"/>
      <c r="O53" s="2"/>
      <c r="P53" s="2"/>
      <c r="Q53" s="2"/>
      <c r="R53" s="2"/>
      <c r="S53" s="2"/>
      <c r="T53" s="75" t="e">
        <f t="shared" si="1"/>
        <v>#DIV/0!</v>
      </c>
      <c r="U53" s="30"/>
    </row>
    <row r="54" spans="1:20" ht="12.75">
      <c r="A54" t="s">
        <v>203</v>
      </c>
      <c r="B54" s="4"/>
      <c r="C54" s="2"/>
      <c r="D54" s="2"/>
      <c r="E54" s="2"/>
      <c r="F54" s="2"/>
      <c r="G54" s="2"/>
      <c r="H54" s="2"/>
      <c r="I54" s="2"/>
      <c r="J54" s="2"/>
      <c r="K54" s="2">
        <v>8100</v>
      </c>
      <c r="L54" s="2"/>
      <c r="M54" s="2"/>
      <c r="N54" s="2"/>
      <c r="O54" s="2"/>
      <c r="P54" s="2"/>
      <c r="Q54" s="2"/>
      <c r="R54" s="2"/>
      <c r="S54" s="2"/>
      <c r="T54" s="48"/>
    </row>
    <row r="55" spans="1:20" ht="12.75">
      <c r="A55" s="6" t="s">
        <v>91</v>
      </c>
      <c r="B55" s="6"/>
      <c r="C55" s="8">
        <f aca="true" t="shared" si="2" ref="C55:I55">SUM(C7:C54)</f>
        <v>738226</v>
      </c>
      <c r="D55" s="8">
        <f t="shared" si="2"/>
        <v>844120</v>
      </c>
      <c r="E55" s="8">
        <f t="shared" si="2"/>
        <v>894550</v>
      </c>
      <c r="F55" s="8">
        <f t="shared" si="2"/>
        <v>991800</v>
      </c>
      <c r="G55" s="8">
        <f t="shared" si="2"/>
        <v>954749</v>
      </c>
      <c r="H55" s="8">
        <f t="shared" si="2"/>
        <v>937487</v>
      </c>
      <c r="I55" s="8">
        <f t="shared" si="2"/>
        <v>956078</v>
      </c>
      <c r="J55" s="8">
        <v>1325312</v>
      </c>
      <c r="K55" s="8">
        <f>SUM(K7:K54)</f>
        <v>1402333</v>
      </c>
      <c r="L55" s="8">
        <v>1643752</v>
      </c>
      <c r="M55" s="8">
        <v>1589314</v>
      </c>
      <c r="N55" s="8">
        <f aca="true" t="shared" si="3" ref="N55:S55">SUM(N7:N54)</f>
        <v>1408227</v>
      </c>
      <c r="O55" s="8">
        <f t="shared" si="3"/>
        <v>1783029.5999999999</v>
      </c>
      <c r="P55" s="8">
        <f t="shared" si="3"/>
        <v>1714321.99142</v>
      </c>
      <c r="Q55" s="8">
        <f t="shared" si="3"/>
        <v>1811291.0957700002</v>
      </c>
      <c r="R55" s="8">
        <f t="shared" si="3"/>
        <v>1721928.94577</v>
      </c>
      <c r="S55" s="8">
        <f t="shared" si="3"/>
        <v>1695928.94577</v>
      </c>
      <c r="T55" s="49">
        <f t="shared" si="1"/>
        <v>-0.010729049584649342</v>
      </c>
    </row>
    <row r="56" ht="12.75">
      <c r="T56" s="48"/>
    </row>
    <row r="57" spans="16:20" ht="12.75">
      <c r="P57" s="20" t="s">
        <v>445</v>
      </c>
      <c r="Q57" s="20"/>
      <c r="R57" s="52">
        <f>Q55-R55</f>
        <v>89362.15000000014</v>
      </c>
      <c r="T57" s="48"/>
    </row>
    <row r="58" spans="1:18" ht="12.75">
      <c r="A58" s="6"/>
      <c r="P58" s="20" t="s">
        <v>668</v>
      </c>
      <c r="Q58" s="20"/>
      <c r="R58" s="52">
        <f>P55-R55</f>
        <v>-7606.9543500000145</v>
      </c>
    </row>
    <row r="59" spans="16:18" ht="12.75">
      <c r="P59" s="20" t="s">
        <v>397</v>
      </c>
      <c r="Q59" s="20"/>
      <c r="R59" s="52">
        <f>R55-S55</f>
        <v>26000</v>
      </c>
    </row>
    <row r="60" spans="16:18" ht="12.75">
      <c r="P60" s="20"/>
      <c r="Q60" s="20"/>
      <c r="R60" s="52"/>
    </row>
    <row r="61" ht="12.75">
      <c r="A61" t="s">
        <v>950</v>
      </c>
    </row>
    <row r="62" ht="12.75">
      <c r="A62" t="s">
        <v>922</v>
      </c>
    </row>
    <row r="63" ht="12.75">
      <c r="A63" t="s">
        <v>985</v>
      </c>
    </row>
    <row r="67" spans="1:15" ht="12.75">
      <c r="A67" t="s">
        <v>687</v>
      </c>
      <c r="I67" s="39">
        <v>376838</v>
      </c>
      <c r="J67" s="39">
        <v>507965</v>
      </c>
      <c r="K67" s="39">
        <v>553653</v>
      </c>
      <c r="L67" s="39">
        <v>579209</v>
      </c>
      <c r="M67" s="39">
        <v>705288</v>
      </c>
      <c r="N67">
        <v>434603</v>
      </c>
      <c r="O67">
        <v>734586</v>
      </c>
    </row>
    <row r="68" spans="1:15" ht="12.75">
      <c r="A68" t="s">
        <v>890</v>
      </c>
      <c r="I68" s="39"/>
      <c r="J68" s="39"/>
      <c r="K68" s="132">
        <f>K67/K55</f>
        <v>0.39480850839279974</v>
      </c>
      <c r="L68" s="132">
        <f>L67/L55</f>
        <v>0.3523700655573347</v>
      </c>
      <c r="M68" s="132">
        <f>M67/M55</f>
        <v>0.44376882101334286</v>
      </c>
      <c r="N68" s="132">
        <f>N67/N55</f>
        <v>0.30861714766156306</v>
      </c>
      <c r="O68" s="132">
        <f>O67/O55</f>
        <v>0.411987551973338</v>
      </c>
    </row>
    <row r="72" spans="1:2" ht="12.75">
      <c r="A72" s="6"/>
      <c r="B72" s="4"/>
    </row>
    <row r="73" spans="1:2" ht="12.75">
      <c r="A73" s="16"/>
      <c r="B73" s="18"/>
    </row>
    <row r="74" spans="1:19" ht="12.75">
      <c r="A74" s="16"/>
      <c r="Q74" s="17"/>
      <c r="R74" s="17"/>
      <c r="S74" s="17"/>
    </row>
    <row r="76" ht="12.75">
      <c r="B76" s="4"/>
    </row>
    <row r="77" ht="12.75">
      <c r="A77" s="16"/>
    </row>
    <row r="78" spans="1:19" ht="12.75">
      <c r="A78" s="16"/>
      <c r="Q78" s="17"/>
      <c r="R78" s="17"/>
      <c r="S78" s="17"/>
    </row>
    <row r="81" ht="12.75">
      <c r="A81" s="16"/>
    </row>
    <row r="88" ht="12.75">
      <c r="T88" s="2"/>
    </row>
    <row r="89" ht="12.75">
      <c r="T89" s="2"/>
    </row>
    <row r="90" ht="12.75">
      <c r="T90" s="2"/>
    </row>
    <row r="91" ht="12.75">
      <c r="T91" s="2"/>
    </row>
    <row r="92" ht="12.75">
      <c r="T92" s="2"/>
    </row>
    <row r="93" ht="12.75">
      <c r="T93" s="2"/>
    </row>
    <row r="115" spans="3:1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6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U8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1.7109375" style="0" hidden="1" customWidth="1"/>
    <col min="5" max="5" width="7.140625" style="0" hidden="1" customWidth="1"/>
    <col min="6" max="9" width="7.57421875" style="0" hidden="1" customWidth="1"/>
    <col min="10" max="13" width="7.57421875" style="0" customWidth="1"/>
    <col min="14" max="14" width="6.57421875" style="0" customWidth="1"/>
    <col min="16" max="16" width="10.421875" style="0" customWidth="1"/>
    <col min="18" max="18" width="11.00390625" style="0" bestFit="1" customWidth="1"/>
    <col min="19" max="19" width="8.7109375" style="0" bestFit="1" customWidth="1"/>
    <col min="20" max="20" width="7.57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427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428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58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604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5932</v>
      </c>
      <c r="M7" s="2">
        <v>6207</v>
      </c>
      <c r="N7" s="2">
        <v>2836</v>
      </c>
      <c r="O7" s="2">
        <f>+N7/$N$3*12</f>
        <v>5672</v>
      </c>
      <c r="P7" s="2">
        <v>5647.46</v>
      </c>
      <c r="Q7" s="2">
        <v>5647</v>
      </c>
      <c r="R7" s="2">
        <v>5647</v>
      </c>
      <c r="S7" s="2">
        <v>5647</v>
      </c>
      <c r="T7" s="75">
        <f>(S7-P7)/P7</f>
        <v>-8.145254680866025E-05</v>
      </c>
    </row>
    <row r="8" spans="1:20" ht="12.75">
      <c r="A8" t="s">
        <v>598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2623</v>
      </c>
      <c r="M8" s="2">
        <v>2655</v>
      </c>
      <c r="N8" s="2">
        <v>2335</v>
      </c>
      <c r="O8" s="2">
        <f>+N8/$N$3*12</f>
        <v>4670</v>
      </c>
      <c r="P8" s="19">
        <v>2500</v>
      </c>
      <c r="Q8" s="19">
        <v>2500</v>
      </c>
      <c r="R8" s="19">
        <v>2500</v>
      </c>
      <c r="S8" s="19">
        <v>2500</v>
      </c>
      <c r="T8" s="75">
        <f>(S8-P8)/P8</f>
        <v>0</v>
      </c>
    </row>
    <row r="9" spans="1:20" ht="12.75">
      <c r="A9" t="s">
        <v>113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654</v>
      </c>
      <c r="M9" s="2">
        <v>678</v>
      </c>
      <c r="N9" s="2">
        <v>396</v>
      </c>
      <c r="O9" s="2">
        <f>+N9/$N$3*12</f>
        <v>792</v>
      </c>
      <c r="P9" s="2">
        <v>623.2806899999999</v>
      </c>
      <c r="Q9" s="2">
        <f>(Q7+Q8)*0.0765</f>
        <v>623.2455</v>
      </c>
      <c r="R9" s="2">
        <f>(R7+R8)*0.0765</f>
        <v>623.2455</v>
      </c>
      <c r="S9" s="2">
        <f>(S7+S8)*0.0765</f>
        <v>623.2455</v>
      </c>
      <c r="T9" s="75">
        <f>(S9-P9)/P9</f>
        <v>-5.6459313700129576E-05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584</v>
      </c>
      <c r="B11" s="4">
        <v>52.1216</v>
      </c>
      <c r="C11" s="2"/>
      <c r="D11" s="2"/>
      <c r="E11" s="2"/>
      <c r="F11" s="2"/>
      <c r="G11" s="2"/>
      <c r="H11" s="2"/>
      <c r="I11" s="2"/>
      <c r="J11" s="2">
        <v>634</v>
      </c>
      <c r="K11" s="2"/>
      <c r="L11" s="2">
        <v>347</v>
      </c>
      <c r="M11" s="2"/>
      <c r="N11" s="2">
        <v>0</v>
      </c>
      <c r="O11" s="2">
        <v>300</v>
      </c>
      <c r="P11" s="2">
        <v>300</v>
      </c>
      <c r="Q11" s="2">
        <v>300</v>
      </c>
      <c r="R11" s="2">
        <v>300</v>
      </c>
      <c r="S11" s="2">
        <v>300</v>
      </c>
      <c r="T11" s="75"/>
    </row>
    <row r="12" spans="1:20" ht="12.75">
      <c r="A12" t="s">
        <v>625</v>
      </c>
      <c r="B12" s="4">
        <v>52.1255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950</v>
      </c>
      <c r="N12" s="2">
        <v>-250</v>
      </c>
      <c r="O12" s="2">
        <v>200</v>
      </c>
      <c r="P12" s="2">
        <v>200</v>
      </c>
      <c r="Q12" s="2">
        <v>300</v>
      </c>
      <c r="R12" s="2">
        <v>200</v>
      </c>
      <c r="S12" s="2">
        <v>200</v>
      </c>
      <c r="T12" s="75"/>
    </row>
    <row r="13" spans="1:20" ht="12.75">
      <c r="A13" t="s">
        <v>221</v>
      </c>
      <c r="B13" s="4">
        <v>52.1255</v>
      </c>
      <c r="C13" s="2">
        <v>727</v>
      </c>
      <c r="D13" s="2">
        <v>1050</v>
      </c>
      <c r="E13" s="2">
        <v>525</v>
      </c>
      <c r="F13" s="2">
        <v>1550</v>
      </c>
      <c r="G13" s="2">
        <v>75</v>
      </c>
      <c r="H13" s="2">
        <v>125</v>
      </c>
      <c r="I13" s="2"/>
      <c r="J13" s="2"/>
      <c r="K13" s="2">
        <v>250</v>
      </c>
      <c r="L13" s="2"/>
      <c r="M13" s="2"/>
      <c r="N13" s="2"/>
      <c r="O13" s="2"/>
      <c r="P13" s="2"/>
      <c r="Q13" s="2"/>
      <c r="R13" s="2"/>
      <c r="S13" s="2"/>
      <c r="T13" s="75" t="e">
        <f aca="true" t="shared" si="0" ref="T13:T21">(S13-P13)/P13</f>
        <v>#DIV/0!</v>
      </c>
    </row>
    <row r="14" spans="1:20" ht="12.75">
      <c r="A14" t="s">
        <v>570</v>
      </c>
      <c r="B14" s="4">
        <v>52.1256</v>
      </c>
      <c r="C14" s="2"/>
      <c r="D14" s="2"/>
      <c r="E14" s="2"/>
      <c r="F14" s="2"/>
      <c r="G14" s="2"/>
      <c r="H14" s="2"/>
      <c r="I14" s="2">
        <v>965</v>
      </c>
      <c r="J14" s="2">
        <v>600</v>
      </c>
      <c r="K14" s="2"/>
      <c r="L14" s="2">
        <v>413</v>
      </c>
      <c r="M14" s="2"/>
      <c r="N14" s="2">
        <v>0</v>
      </c>
      <c r="O14" s="2">
        <v>300</v>
      </c>
      <c r="P14" s="2">
        <v>300</v>
      </c>
      <c r="Q14" s="2">
        <v>400</v>
      </c>
      <c r="R14" s="2">
        <v>300</v>
      </c>
      <c r="S14" s="2">
        <v>300</v>
      </c>
      <c r="T14" s="75"/>
    </row>
    <row r="15" spans="1:20" ht="12.75">
      <c r="A15" t="s">
        <v>222</v>
      </c>
      <c r="B15" s="4">
        <v>52.1318</v>
      </c>
      <c r="C15" s="2">
        <v>216</v>
      </c>
      <c r="D15" s="2">
        <v>299</v>
      </c>
      <c r="E15" s="2">
        <v>196</v>
      </c>
      <c r="F15" s="2">
        <v>354</v>
      </c>
      <c r="G15" s="2">
        <v>195</v>
      </c>
      <c r="H15" s="2">
        <v>134</v>
      </c>
      <c r="I15" s="2">
        <v>135</v>
      </c>
      <c r="J15" s="2">
        <v>183</v>
      </c>
      <c r="K15" s="2">
        <v>23</v>
      </c>
      <c r="L15" s="2">
        <v>360</v>
      </c>
      <c r="M15" s="2">
        <v>175</v>
      </c>
      <c r="N15" s="2">
        <v>0</v>
      </c>
      <c r="O15" s="2">
        <v>300</v>
      </c>
      <c r="P15" s="2">
        <v>300</v>
      </c>
      <c r="Q15" s="2">
        <v>300</v>
      </c>
      <c r="R15" s="2">
        <v>300</v>
      </c>
      <c r="S15" s="2">
        <v>300</v>
      </c>
      <c r="T15" s="75">
        <f t="shared" si="0"/>
        <v>0</v>
      </c>
    </row>
    <row r="16" spans="1:20" ht="12.75">
      <c r="A16" t="s">
        <v>29</v>
      </c>
      <c r="B16" s="4">
        <v>52.1337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940</v>
      </c>
      <c r="O16" s="2">
        <v>940</v>
      </c>
      <c r="P16" s="2"/>
      <c r="Q16" s="2"/>
      <c r="R16" s="2"/>
      <c r="S16" s="2"/>
      <c r="T16" s="75"/>
    </row>
    <row r="17" spans="1:20" ht="12.75">
      <c r="A17" t="s">
        <v>523</v>
      </c>
      <c r="B17" s="4">
        <v>52.2206</v>
      </c>
      <c r="C17" s="2"/>
      <c r="D17" s="2"/>
      <c r="E17" s="2"/>
      <c r="F17" s="2"/>
      <c r="G17" s="2"/>
      <c r="H17" s="2">
        <v>300</v>
      </c>
      <c r="I17" s="2">
        <v>431</v>
      </c>
      <c r="J17" s="2"/>
      <c r="K17" s="2"/>
      <c r="L17" s="2"/>
      <c r="M17" s="2">
        <v>50</v>
      </c>
      <c r="N17" s="2">
        <v>0</v>
      </c>
      <c r="O17" s="2"/>
      <c r="P17" s="2"/>
      <c r="Q17" s="2"/>
      <c r="R17" s="2"/>
      <c r="S17" s="2"/>
      <c r="T17" s="75"/>
    </row>
    <row r="18" spans="1:20" ht="12.75">
      <c r="A18" t="s">
        <v>115</v>
      </c>
      <c r="B18" s="4">
        <v>52.32</v>
      </c>
      <c r="C18" s="2">
        <v>484</v>
      </c>
      <c r="D18" s="2">
        <v>611</v>
      </c>
      <c r="E18" s="2">
        <v>383</v>
      </c>
      <c r="F18" s="2">
        <v>580</v>
      </c>
      <c r="G18" s="2">
        <v>522</v>
      </c>
      <c r="H18" s="2">
        <v>526</v>
      </c>
      <c r="I18" s="2">
        <v>471</v>
      </c>
      <c r="J18" s="2">
        <v>281</v>
      </c>
      <c r="K18" s="2">
        <v>344</v>
      </c>
      <c r="L18" s="2">
        <v>308</v>
      </c>
      <c r="M18" s="2">
        <v>336</v>
      </c>
      <c r="N18" s="2">
        <v>168</v>
      </c>
      <c r="O18" s="2">
        <f>+N18/$N$3*12</f>
        <v>336</v>
      </c>
      <c r="P18" s="2">
        <v>400</v>
      </c>
      <c r="Q18" s="2">
        <v>400</v>
      </c>
      <c r="R18" s="2">
        <v>400</v>
      </c>
      <c r="S18" s="2">
        <v>400</v>
      </c>
      <c r="T18" s="75">
        <f t="shared" si="0"/>
        <v>0</v>
      </c>
    </row>
    <row r="19" spans="1:20" ht="12.75">
      <c r="A19" t="s">
        <v>116</v>
      </c>
      <c r="B19" s="4">
        <v>52.321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35</v>
      </c>
      <c r="N19" s="2"/>
      <c r="O19" s="2"/>
      <c r="P19" s="2"/>
      <c r="Q19" s="2">
        <v>30</v>
      </c>
      <c r="R19" s="2"/>
      <c r="S19" s="2"/>
      <c r="T19" s="75"/>
    </row>
    <row r="20" spans="1:20" ht="12.75">
      <c r="A20" t="s">
        <v>128</v>
      </c>
      <c r="B20" s="4">
        <v>52.35</v>
      </c>
      <c r="C20" s="2">
        <v>837</v>
      </c>
      <c r="D20" s="2">
        <v>1605</v>
      </c>
      <c r="E20" s="2">
        <v>878</v>
      </c>
      <c r="F20" s="2">
        <v>1441</v>
      </c>
      <c r="G20" s="2">
        <v>1062</v>
      </c>
      <c r="H20" s="2">
        <v>904</v>
      </c>
      <c r="I20" s="2">
        <v>1578</v>
      </c>
      <c r="J20" s="2">
        <v>1337</v>
      </c>
      <c r="K20" s="2">
        <v>1535</v>
      </c>
      <c r="L20" s="2">
        <v>532</v>
      </c>
      <c r="M20" s="2">
        <v>996</v>
      </c>
      <c r="N20" s="2">
        <v>1192</v>
      </c>
      <c r="O20" s="2">
        <v>2000</v>
      </c>
      <c r="P20" s="2">
        <v>2000</v>
      </c>
      <c r="Q20" s="2">
        <v>2000</v>
      </c>
      <c r="R20" s="2">
        <v>1500</v>
      </c>
      <c r="S20" s="2">
        <v>1500</v>
      </c>
      <c r="T20" s="75">
        <f t="shared" si="0"/>
        <v>-0.25</v>
      </c>
    </row>
    <row r="21" spans="1:20" ht="12.75">
      <c r="A21" t="s">
        <v>118</v>
      </c>
      <c r="B21" s="4">
        <v>52.3602</v>
      </c>
      <c r="C21" s="2">
        <v>100</v>
      </c>
      <c r="D21" s="2">
        <v>100</v>
      </c>
      <c r="E21" s="2">
        <v>50</v>
      </c>
      <c r="F21" s="2">
        <v>100</v>
      </c>
      <c r="G21" s="2">
        <v>100</v>
      </c>
      <c r="H21" s="2">
        <v>150</v>
      </c>
      <c r="I21" s="2">
        <v>150</v>
      </c>
      <c r="J21" s="2">
        <v>150</v>
      </c>
      <c r="K21" s="2">
        <v>75</v>
      </c>
      <c r="L21" s="2">
        <v>75</v>
      </c>
      <c r="M21" s="2">
        <v>75</v>
      </c>
      <c r="N21" s="2">
        <v>75</v>
      </c>
      <c r="O21" s="2">
        <v>150</v>
      </c>
      <c r="P21" s="2">
        <v>150</v>
      </c>
      <c r="Q21" s="2">
        <v>150</v>
      </c>
      <c r="R21" s="2">
        <v>150</v>
      </c>
      <c r="S21" s="2">
        <v>150</v>
      </c>
      <c r="T21" s="75">
        <f t="shared" si="0"/>
        <v>0</v>
      </c>
    </row>
    <row r="22" spans="1:20" ht="12.75">
      <c r="A22" t="s">
        <v>129</v>
      </c>
      <c r="B22" s="4">
        <v>52.37</v>
      </c>
      <c r="C22" s="2"/>
      <c r="D22" s="2"/>
      <c r="E22" s="2">
        <v>410</v>
      </c>
      <c r="F22" s="2">
        <v>853</v>
      </c>
      <c r="G22" s="2">
        <v>300</v>
      </c>
      <c r="H22" s="2">
        <v>600</v>
      </c>
      <c r="I22" s="2"/>
      <c r="J22" s="2"/>
      <c r="K22" s="2">
        <v>300</v>
      </c>
      <c r="L22" s="2">
        <v>300</v>
      </c>
      <c r="M22" s="2">
        <v>300</v>
      </c>
      <c r="N22" s="2">
        <v>600</v>
      </c>
      <c r="O22" s="2">
        <v>600</v>
      </c>
      <c r="P22" s="2">
        <v>600</v>
      </c>
      <c r="Q22" s="2">
        <v>600</v>
      </c>
      <c r="R22" s="2">
        <v>600</v>
      </c>
      <c r="S22" s="2">
        <v>600</v>
      </c>
      <c r="T22" s="75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 hidden="1">
      <c r="A24" t="s">
        <v>330</v>
      </c>
      <c r="B24" s="4">
        <v>53.14</v>
      </c>
      <c r="C24" s="2"/>
      <c r="D24" s="2"/>
      <c r="E24" s="2"/>
      <c r="F24" s="2"/>
      <c r="G24" s="2"/>
      <c r="H24" s="2">
        <v>190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5"/>
    </row>
    <row r="25" spans="1:20" ht="12.75">
      <c r="A25" t="s">
        <v>216</v>
      </c>
      <c r="B25" s="4">
        <v>53.1706</v>
      </c>
      <c r="C25" s="2">
        <v>390</v>
      </c>
      <c r="D25" s="2">
        <v>486</v>
      </c>
      <c r="E25" s="2">
        <v>604</v>
      </c>
      <c r="F25" s="2">
        <v>569</v>
      </c>
      <c r="G25" s="2">
        <v>764</v>
      </c>
      <c r="H25" s="2">
        <v>551</v>
      </c>
      <c r="I25" s="2">
        <f>435+145</f>
        <v>580</v>
      </c>
      <c r="J25" s="2">
        <v>587</v>
      </c>
      <c r="K25" s="2">
        <f>476+102</f>
        <v>578</v>
      </c>
      <c r="L25" s="2">
        <v>259</v>
      </c>
      <c r="M25" s="2">
        <v>589</v>
      </c>
      <c r="N25" s="2">
        <v>0</v>
      </c>
      <c r="O25" s="2">
        <v>600</v>
      </c>
      <c r="P25" s="2">
        <v>500</v>
      </c>
      <c r="Q25" s="2">
        <v>700</v>
      </c>
      <c r="R25" s="2">
        <v>600</v>
      </c>
      <c r="S25" s="2">
        <v>600</v>
      </c>
      <c r="T25" s="75">
        <f>(S25-P25)/P25</f>
        <v>0.2</v>
      </c>
    </row>
    <row r="26" spans="1:20" ht="12.75">
      <c r="A26" t="s">
        <v>123</v>
      </c>
      <c r="B26" s="4">
        <v>53.171</v>
      </c>
      <c r="C26" s="2">
        <v>62</v>
      </c>
      <c r="D26" s="2">
        <v>452</v>
      </c>
      <c r="E26" s="2">
        <v>1035</v>
      </c>
      <c r="F26" s="2">
        <v>297</v>
      </c>
      <c r="G26" s="2">
        <v>216</v>
      </c>
      <c r="H26" s="2">
        <v>46</v>
      </c>
      <c r="I26" s="2">
        <v>106</v>
      </c>
      <c r="J26" s="2">
        <f>39+173</f>
        <v>212</v>
      </c>
      <c r="K26" s="2">
        <f>146+127</f>
        <v>273</v>
      </c>
      <c r="L26" s="2">
        <v>164</v>
      </c>
      <c r="M26" s="2">
        <v>154</v>
      </c>
      <c r="N26" s="2">
        <v>2</v>
      </c>
      <c r="O26" s="2">
        <v>200</v>
      </c>
      <c r="P26" s="2">
        <v>200</v>
      </c>
      <c r="Q26" s="2">
        <v>200</v>
      </c>
      <c r="R26" s="2">
        <v>200</v>
      </c>
      <c r="S26" s="2">
        <v>200</v>
      </c>
      <c r="T26" s="75">
        <f>(S26-P26)/P26</f>
        <v>0</v>
      </c>
    </row>
    <row r="27" spans="1:20" ht="12.75">
      <c r="A27" t="s">
        <v>201</v>
      </c>
      <c r="B27" s="4">
        <v>53.173</v>
      </c>
      <c r="C27" s="2">
        <v>80</v>
      </c>
      <c r="D27" s="2">
        <v>70</v>
      </c>
      <c r="E27" s="2">
        <v>99</v>
      </c>
      <c r="F27" s="2">
        <v>159</v>
      </c>
      <c r="G27" s="2">
        <v>132</v>
      </c>
      <c r="H27" s="2">
        <v>140</v>
      </c>
      <c r="I27" s="2">
        <v>151</v>
      </c>
      <c r="J27" s="2">
        <v>82</v>
      </c>
      <c r="K27" s="2">
        <v>147</v>
      </c>
      <c r="L27" s="2"/>
      <c r="M27" s="2">
        <v>153</v>
      </c>
      <c r="N27" s="2">
        <v>0</v>
      </c>
      <c r="O27" s="2">
        <v>150</v>
      </c>
      <c r="P27" s="2">
        <v>150</v>
      </c>
      <c r="Q27" s="2">
        <v>150</v>
      </c>
      <c r="R27" s="2">
        <v>150</v>
      </c>
      <c r="S27" s="2">
        <v>150</v>
      </c>
      <c r="T27" s="75">
        <f>(S27-P27)/P27</f>
        <v>0</v>
      </c>
    </row>
    <row r="28" spans="1:20" ht="12.75">
      <c r="A28" t="s">
        <v>837</v>
      </c>
      <c r="B28" s="4">
        <v>53.1737</v>
      </c>
      <c r="C28" s="2"/>
      <c r="D28" s="2"/>
      <c r="E28" s="2"/>
      <c r="F28" s="2"/>
      <c r="G28" s="2"/>
      <c r="H28" s="2"/>
      <c r="I28" s="2"/>
      <c r="J28" s="2"/>
      <c r="K28" s="2"/>
      <c r="L28" s="2">
        <v>84</v>
      </c>
      <c r="M28" s="2"/>
      <c r="N28" s="2"/>
      <c r="O28" s="2"/>
      <c r="P28" s="2"/>
      <c r="Q28" s="2"/>
      <c r="R28" s="2"/>
      <c r="S28" s="2"/>
      <c r="T28" s="75"/>
    </row>
    <row r="29" spans="1:20" ht="12.75">
      <c r="A29" t="s">
        <v>162</v>
      </c>
      <c r="B29" s="4">
        <v>53.175</v>
      </c>
      <c r="C29" s="2"/>
      <c r="D29" s="2"/>
      <c r="E29" s="2"/>
      <c r="F29" s="2"/>
      <c r="G29" s="2">
        <v>13</v>
      </c>
      <c r="H29" s="2">
        <v>687</v>
      </c>
      <c r="I29" s="2">
        <v>651</v>
      </c>
      <c r="J29" s="2">
        <v>48</v>
      </c>
      <c r="K29" s="2">
        <v>11</v>
      </c>
      <c r="L29" s="2">
        <v>309</v>
      </c>
      <c r="M29" s="2">
        <v>187</v>
      </c>
      <c r="N29" s="2">
        <v>48</v>
      </c>
      <c r="O29" s="2">
        <f>+N29/$N$3*12</f>
        <v>96</v>
      </c>
      <c r="P29" s="2">
        <v>300</v>
      </c>
      <c r="Q29" s="2">
        <v>300</v>
      </c>
      <c r="R29" s="2">
        <v>300</v>
      </c>
      <c r="S29" s="2">
        <v>300</v>
      </c>
      <c r="T29" s="75"/>
    </row>
    <row r="30" spans="1:20" ht="12.75">
      <c r="A30" t="s">
        <v>522</v>
      </c>
      <c r="B30" s="4">
        <v>53.176</v>
      </c>
      <c r="C30" s="2"/>
      <c r="D30" s="2"/>
      <c r="E30" s="2"/>
      <c r="F30" s="2"/>
      <c r="G30" s="2"/>
      <c r="H30" s="2">
        <v>31</v>
      </c>
      <c r="I30" s="2">
        <v>15</v>
      </c>
      <c r="J30" s="2">
        <v>23</v>
      </c>
      <c r="K30" s="2">
        <v>13</v>
      </c>
      <c r="L30" s="2">
        <v>32</v>
      </c>
      <c r="M30" s="2">
        <v>25</v>
      </c>
      <c r="N30" s="2">
        <v>13</v>
      </c>
      <c r="O30" s="2">
        <f>+N30/$N$3*12</f>
        <v>26</v>
      </c>
      <c r="P30" s="2">
        <v>25</v>
      </c>
      <c r="Q30" s="2">
        <v>50</v>
      </c>
      <c r="R30" s="2">
        <v>25</v>
      </c>
      <c r="S30" s="2">
        <v>25</v>
      </c>
      <c r="T30" s="75"/>
    </row>
    <row r="31" spans="2:20" ht="12.75">
      <c r="B31" s="4"/>
      <c r="C31" s="2"/>
      <c r="D31" s="2"/>
      <c r="E31" s="2"/>
      <c r="F31" s="2"/>
      <c r="G31" s="2"/>
      <c r="H31" s="2"/>
      <c r="I31" s="2"/>
      <c r="J31" s="2">
        <v>201</v>
      </c>
      <c r="K31" s="2"/>
      <c r="L31" s="2"/>
      <c r="M31" s="2"/>
      <c r="N31" s="2"/>
      <c r="O31" s="2">
        <f>+N31/$N$3*12</f>
        <v>0</v>
      </c>
      <c r="P31" s="2"/>
      <c r="Q31" s="2"/>
      <c r="R31" s="2"/>
      <c r="S31" s="2"/>
      <c r="T31" s="75"/>
    </row>
    <row r="32" spans="1:20" ht="12.75">
      <c r="A32" t="s">
        <v>319</v>
      </c>
      <c r="B32" s="4">
        <v>53.179</v>
      </c>
      <c r="C32" s="2"/>
      <c r="D32" s="2"/>
      <c r="E32" s="2"/>
      <c r="F32" s="2"/>
      <c r="G32" s="2"/>
      <c r="H32" s="2">
        <v>461</v>
      </c>
      <c r="I32" s="2">
        <v>632</v>
      </c>
      <c r="J32" s="2">
        <v>1000</v>
      </c>
      <c r="K32" s="2">
        <v>520</v>
      </c>
      <c r="L32" s="2">
        <v>1332</v>
      </c>
      <c r="M32" s="2">
        <v>893</v>
      </c>
      <c r="N32" s="2">
        <v>380</v>
      </c>
      <c r="O32" s="2">
        <f>+N32/$N$3*12</f>
        <v>760</v>
      </c>
      <c r="P32" s="2">
        <v>1000</v>
      </c>
      <c r="Q32" s="2">
        <v>1200</v>
      </c>
      <c r="R32" s="2">
        <v>1000</v>
      </c>
      <c r="S32" s="2">
        <v>1000</v>
      </c>
      <c r="T32" s="75"/>
    </row>
    <row r="33" spans="1:21" ht="12.75">
      <c r="A33" t="s">
        <v>166</v>
      </c>
      <c r="B33" s="4">
        <v>54.25</v>
      </c>
      <c r="C33" s="2"/>
      <c r="D33" s="2"/>
      <c r="E33" s="2">
        <v>679</v>
      </c>
      <c r="F33" s="2">
        <v>629</v>
      </c>
      <c r="G33" s="2">
        <v>250</v>
      </c>
      <c r="H33" s="2">
        <v>2640</v>
      </c>
      <c r="I33" s="2">
        <v>9</v>
      </c>
      <c r="J33" s="2"/>
      <c r="K33" s="2">
        <f>477+328</f>
        <v>805</v>
      </c>
      <c r="L33" s="2">
        <v>41</v>
      </c>
      <c r="M33" s="2"/>
      <c r="N33" s="2">
        <v>0</v>
      </c>
      <c r="O33" s="2">
        <f>+N33/$N$3*12</f>
        <v>0</v>
      </c>
      <c r="P33" s="2"/>
      <c r="Q33" s="2">
        <v>1200</v>
      </c>
      <c r="R33" s="2">
        <v>1100</v>
      </c>
      <c r="S33" s="2">
        <v>1000</v>
      </c>
      <c r="T33" s="75"/>
      <c r="U33" t="s">
        <v>338</v>
      </c>
    </row>
    <row r="34" spans="1:20" ht="12.75">
      <c r="A34" t="s">
        <v>513</v>
      </c>
      <c r="B34" s="4">
        <v>54.26</v>
      </c>
      <c r="C34" s="5"/>
      <c r="D34" s="5"/>
      <c r="E34" s="5"/>
      <c r="F34" s="5"/>
      <c r="G34" s="2">
        <v>415</v>
      </c>
      <c r="H34" s="2"/>
      <c r="I34" s="2"/>
      <c r="J34" s="2"/>
      <c r="K34" s="2">
        <v>715</v>
      </c>
      <c r="L34" s="2"/>
      <c r="M34" s="2"/>
      <c r="N34" s="2"/>
      <c r="O34" s="5"/>
      <c r="P34" s="5"/>
      <c r="Q34" s="5"/>
      <c r="R34" s="5"/>
      <c r="S34" s="5"/>
      <c r="T34" s="75"/>
    </row>
    <row r="35" spans="2:20" ht="12.75">
      <c r="B35" s="4"/>
      <c r="C35" s="5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  <c r="R35" s="5"/>
      <c r="S35" s="5"/>
      <c r="T35" s="75"/>
    </row>
    <row r="36" spans="2:20" ht="12.75">
      <c r="B36" s="4"/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  <c r="R36" s="5"/>
      <c r="S36" s="5"/>
      <c r="T36" s="75"/>
    </row>
    <row r="37" spans="1:20" ht="12.75">
      <c r="A37" s="6" t="s">
        <v>91</v>
      </c>
      <c r="C37" s="8">
        <f aca="true" t="shared" si="1" ref="C37:I37">SUM(C7:C34)</f>
        <v>9047</v>
      </c>
      <c r="D37" s="8">
        <f t="shared" si="1"/>
        <v>10959</v>
      </c>
      <c r="E37" s="8">
        <f t="shared" si="1"/>
        <v>10495</v>
      </c>
      <c r="F37" s="8">
        <f t="shared" si="1"/>
        <v>14269</v>
      </c>
      <c r="G37" s="8">
        <f t="shared" si="1"/>
        <v>10403</v>
      </c>
      <c r="H37" s="8">
        <f t="shared" si="1"/>
        <v>16690</v>
      </c>
      <c r="I37" s="8">
        <f t="shared" si="1"/>
        <v>15049</v>
      </c>
      <c r="J37" s="8">
        <v>18403</v>
      </c>
      <c r="K37" s="8">
        <f aca="true" t="shared" si="2" ref="K37:S37">SUM(K7:K34)</f>
        <v>15312</v>
      </c>
      <c r="L37" s="8">
        <v>13765</v>
      </c>
      <c r="M37" s="8">
        <v>14458</v>
      </c>
      <c r="N37" s="8">
        <f t="shared" si="2"/>
        <v>8735</v>
      </c>
      <c r="O37" s="8">
        <f t="shared" si="2"/>
        <v>18092</v>
      </c>
      <c r="P37" s="8">
        <f t="shared" si="2"/>
        <v>15195.74069</v>
      </c>
      <c r="Q37" s="8">
        <f t="shared" si="2"/>
        <v>17050.2455</v>
      </c>
      <c r="R37" s="8">
        <f t="shared" si="2"/>
        <v>15895.2455</v>
      </c>
      <c r="S37" s="8">
        <f t="shared" si="2"/>
        <v>15795.2455</v>
      </c>
      <c r="T37" s="79">
        <f>(S37-P37)/P37</f>
        <v>0.03945216111739271</v>
      </c>
    </row>
    <row r="38" ht="12.75">
      <c r="T38" s="48"/>
    </row>
    <row r="39" spans="16:20" ht="12.75">
      <c r="P39" s="20" t="s">
        <v>445</v>
      </c>
      <c r="Q39" s="20"/>
      <c r="R39" s="52">
        <f>Q37-R37</f>
        <v>1155</v>
      </c>
      <c r="T39" s="48"/>
    </row>
    <row r="40" spans="1:20" ht="12.75">
      <c r="A40" s="6"/>
      <c r="P40" s="20" t="s">
        <v>668</v>
      </c>
      <c r="Q40" s="20"/>
      <c r="R40" s="52">
        <f>P37-R37</f>
        <v>-699.5048100000004</v>
      </c>
      <c r="T40" s="48"/>
    </row>
    <row r="41" spans="16:20" ht="12.75">
      <c r="P41" s="20" t="s">
        <v>397</v>
      </c>
      <c r="Q41" s="20"/>
      <c r="R41" s="52">
        <f>R37-S37</f>
        <v>100</v>
      </c>
      <c r="T41" s="48"/>
    </row>
    <row r="42" spans="1:20" ht="12.75">
      <c r="A42" s="30" t="s">
        <v>537</v>
      </c>
      <c r="T42" s="48"/>
    </row>
    <row r="43" spans="1:20" ht="12.75">
      <c r="A43" t="s">
        <v>858</v>
      </c>
      <c r="B43" t="s">
        <v>989</v>
      </c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2" ht="12.75">
      <c r="T52" s="48"/>
    </row>
    <row r="53" ht="12.75">
      <c r="T53" s="48"/>
    </row>
    <row r="54" ht="12.75">
      <c r="T54" s="48"/>
    </row>
    <row r="79" ht="12.75">
      <c r="T79" s="2"/>
    </row>
    <row r="80" ht="12.75">
      <c r="T80" s="2"/>
    </row>
    <row r="81" ht="12.75">
      <c r="T81" s="2"/>
    </row>
    <row r="82" spans="3:20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3:20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1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V76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8.00390625" style="0" hidden="1" customWidth="1"/>
    <col min="11" max="12" width="8.00390625" style="0" bestFit="1" customWidth="1"/>
    <col min="13" max="13" width="8.00390625" style="0" customWidth="1"/>
    <col min="14" max="15" width="8.00390625" style="0" bestFit="1" customWidth="1"/>
    <col min="16" max="16" width="10.140625" style="0" customWidth="1"/>
    <col min="18" max="18" width="10.7109375" style="0" bestFit="1" customWidth="1"/>
    <col min="19" max="19" width="8.00390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429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t="s">
        <v>623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35000</v>
      </c>
      <c r="M7" s="2">
        <v>29925</v>
      </c>
      <c r="N7" s="2">
        <v>14963</v>
      </c>
      <c r="O7" s="2">
        <v>29925</v>
      </c>
      <c r="P7" s="2">
        <v>29925</v>
      </c>
      <c r="Q7" s="2">
        <v>43550</v>
      </c>
      <c r="R7" s="2">
        <v>43550</v>
      </c>
      <c r="S7" s="2">
        <v>43550</v>
      </c>
      <c r="T7" s="48">
        <f>(S7-P7)/P7</f>
        <v>0.4553049289891395</v>
      </c>
      <c r="U7" s="30"/>
    </row>
    <row r="8" spans="1:21" ht="12.75">
      <c r="A8" t="s">
        <v>32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8"/>
      <c r="U8" s="6"/>
    </row>
    <row r="9" spans="1:21" ht="12.75">
      <c r="A9" t="s">
        <v>33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8"/>
      <c r="U9" s="6"/>
    </row>
    <row r="10" spans="1:20" ht="12.75">
      <c r="A10" t="s">
        <v>747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/>
      <c r="N10" s="2"/>
      <c r="O10" s="2"/>
      <c r="P10" s="5"/>
      <c r="Q10" s="5"/>
      <c r="R10" s="2"/>
      <c r="S10" s="2"/>
      <c r="T10" s="48"/>
    </row>
    <row r="11" spans="2:20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8"/>
    </row>
    <row r="12" spans="1:20" ht="12.75">
      <c r="A12" s="6" t="s">
        <v>91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S12">SUM(K7:K11)</f>
        <v>36000</v>
      </c>
      <c r="L12" s="8">
        <v>39000</v>
      </c>
      <c r="M12" s="8">
        <v>29925</v>
      </c>
      <c r="N12" s="8">
        <f t="shared" si="1"/>
        <v>14963</v>
      </c>
      <c r="O12" s="8">
        <f t="shared" si="1"/>
        <v>29925</v>
      </c>
      <c r="P12" s="8">
        <f t="shared" si="1"/>
        <v>29925</v>
      </c>
      <c r="Q12" s="8">
        <f t="shared" si="1"/>
        <v>43550</v>
      </c>
      <c r="R12" s="8">
        <f t="shared" si="1"/>
        <v>43550</v>
      </c>
      <c r="S12" s="8">
        <f t="shared" si="1"/>
        <v>43550</v>
      </c>
      <c r="T12" s="48">
        <f>(S12-P12)/P12</f>
        <v>0.4553049289891395</v>
      </c>
    </row>
    <row r="13" ht="12.75">
      <c r="T13" s="48"/>
    </row>
    <row r="14" spans="16:20" ht="12.75">
      <c r="P14" s="20" t="s">
        <v>445</v>
      </c>
      <c r="Q14" s="20"/>
      <c r="R14" s="52">
        <f>Q12-R12</f>
        <v>0</v>
      </c>
      <c r="T14" s="48"/>
    </row>
    <row r="15" spans="16:20" ht="12.75">
      <c r="P15" s="20" t="s">
        <v>668</v>
      </c>
      <c r="Q15" s="20"/>
      <c r="R15" s="52">
        <f>P12-R12</f>
        <v>-13625</v>
      </c>
      <c r="T15" s="48"/>
    </row>
    <row r="16" spans="16:20" ht="12.75">
      <c r="P16" s="20" t="s">
        <v>397</v>
      </c>
      <c r="Q16" s="20"/>
      <c r="R16" s="52">
        <f>R12-S12</f>
        <v>0</v>
      </c>
      <c r="T16" s="48"/>
    </row>
    <row r="17" ht="12.75">
      <c r="T17" s="48"/>
    </row>
    <row r="18" spans="1:20" ht="12.75">
      <c r="A18" s="20"/>
      <c r="T18" s="48"/>
    </row>
    <row r="19" spans="1:20" ht="12.75">
      <c r="A19" s="6"/>
      <c r="T19" s="48"/>
    </row>
    <row r="20" spans="1:20" ht="12.75">
      <c r="A20" s="6"/>
      <c r="T20" s="48"/>
    </row>
    <row r="21" ht="12.75">
      <c r="T21" s="48"/>
    </row>
    <row r="22" spans="20:22" ht="12.75">
      <c r="T22" s="48"/>
      <c r="V22" t="s">
        <v>601</v>
      </c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71" ht="12.75">
      <c r="T71" s="2"/>
    </row>
    <row r="72" ht="12.75">
      <c r="T72" s="2"/>
    </row>
    <row r="73" ht="12.75">
      <c r="T73" s="2"/>
    </row>
    <row r="74" ht="12.75">
      <c r="T74" s="2"/>
    </row>
    <row r="75" ht="12.75">
      <c r="T75" s="2"/>
    </row>
    <row r="76" ht="12.75">
      <c r="T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65"/>
  <sheetViews>
    <sheetView tabSelected="1" workbookViewId="0" topLeftCell="J1">
      <pane ySplit="1800" topLeftCell="BM10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6.7109375" style="0" customWidth="1"/>
    <col min="2" max="2" width="6.00390625" style="0" bestFit="1" customWidth="1"/>
    <col min="3" max="6" width="9.140625" style="0" hidden="1" customWidth="1"/>
    <col min="7" max="7" width="25.7109375" style="0" hidden="1" customWidth="1"/>
    <col min="8" max="8" width="9.140625" style="0" hidden="1" customWidth="1"/>
    <col min="11" max="13" width="13.421875" style="0" customWidth="1"/>
    <col min="14" max="14" width="13.00390625" style="0" bestFit="1" customWidth="1"/>
    <col min="15" max="15" width="13.57421875" style="0" bestFit="1" customWidth="1"/>
    <col min="16" max="17" width="10.140625" style="0" bestFit="1" customWidth="1"/>
    <col min="18" max="18" width="13.421875" style="0" customWidth="1"/>
    <col min="19" max="19" width="10.421875" style="0" customWidth="1"/>
    <col min="20" max="20" width="10.28125" style="66" hidden="1" customWidth="1"/>
    <col min="21" max="21" width="10.140625" style="66" hidden="1" customWidth="1"/>
    <col min="22" max="22" width="10.7109375" style="66" hidden="1" customWidth="1"/>
    <col min="23" max="23" width="8.7109375" style="66" hidden="1" customWidth="1"/>
    <col min="24" max="24" width="0.13671875" style="66" hidden="1" customWidth="1"/>
    <col min="25" max="25" width="8.57421875" style="72" hidden="1" customWidth="1"/>
    <col min="26" max="26" width="6.8515625" style="0" hidden="1" customWidth="1"/>
    <col min="27" max="27" width="7.28125" style="0" bestFit="1" customWidth="1"/>
  </cols>
  <sheetData>
    <row r="1" spans="1:2" ht="12.75">
      <c r="A1" t="s">
        <v>81</v>
      </c>
      <c r="B1" s="61">
        <v>2009</v>
      </c>
    </row>
    <row r="2" ht="12.75">
      <c r="A2" t="s">
        <v>82</v>
      </c>
    </row>
    <row r="3" spans="1:27" ht="12.75">
      <c r="A3" s="6" t="s">
        <v>377</v>
      </c>
      <c r="N3" s="64"/>
      <c r="O3" s="9"/>
      <c r="Z3" t="s">
        <v>734</v>
      </c>
      <c r="AA3" t="s">
        <v>735</v>
      </c>
    </row>
    <row r="4" spans="3:27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P4" s="1"/>
      <c r="Q4" s="65" t="s">
        <v>478</v>
      </c>
      <c r="R4" s="65" t="s">
        <v>392</v>
      </c>
      <c r="S4" s="65" t="s">
        <v>479</v>
      </c>
      <c r="T4" s="67" t="s">
        <v>480</v>
      </c>
      <c r="U4" s="67" t="s">
        <v>979</v>
      </c>
      <c r="V4" s="67" t="s">
        <v>392</v>
      </c>
      <c r="W4" s="67" t="s">
        <v>308</v>
      </c>
      <c r="Y4" s="83" t="s">
        <v>451</v>
      </c>
      <c r="Z4" s="1" t="s">
        <v>492</v>
      </c>
      <c r="AA4" s="1" t="s">
        <v>492</v>
      </c>
    </row>
    <row r="5" spans="3:27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407</v>
      </c>
      <c r="P5" s="1" t="s">
        <v>316</v>
      </c>
      <c r="Q5" s="65" t="s">
        <v>391</v>
      </c>
      <c r="R5" s="65" t="s">
        <v>609</v>
      </c>
      <c r="S5" s="65" t="s">
        <v>477</v>
      </c>
      <c r="T5" s="68" t="s">
        <v>481</v>
      </c>
      <c r="U5" s="68" t="s">
        <v>980</v>
      </c>
      <c r="V5" s="68" t="s">
        <v>483</v>
      </c>
      <c r="W5" s="68" t="s">
        <v>595</v>
      </c>
      <c r="X5" s="67" t="s">
        <v>484</v>
      </c>
      <c r="Y5" s="73" t="s">
        <v>388</v>
      </c>
      <c r="Z5">
        <v>2008</v>
      </c>
      <c r="AA5">
        <v>2011</v>
      </c>
    </row>
    <row r="6" spans="3:27" ht="13.5" thickBot="1">
      <c r="C6" s="58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58">
        <v>2010</v>
      </c>
      <c r="O6" s="58">
        <v>2010</v>
      </c>
      <c r="P6" s="58">
        <v>2010</v>
      </c>
      <c r="Q6" s="58">
        <v>2011</v>
      </c>
      <c r="R6" s="58">
        <v>2011</v>
      </c>
      <c r="S6" s="58">
        <v>2011</v>
      </c>
      <c r="T6" s="69" t="s">
        <v>482</v>
      </c>
      <c r="U6" s="69" t="s">
        <v>981</v>
      </c>
      <c r="V6" s="69" t="s">
        <v>717</v>
      </c>
      <c r="W6" s="69" t="s">
        <v>596</v>
      </c>
      <c r="X6" s="69" t="s">
        <v>485</v>
      </c>
      <c r="Y6" s="82" t="s">
        <v>881</v>
      </c>
      <c r="Z6" s="58" t="s">
        <v>316</v>
      </c>
      <c r="AA6" s="58" t="s">
        <v>316</v>
      </c>
    </row>
    <row r="7" spans="1:27" ht="12.75">
      <c r="A7" s="30" t="s">
        <v>139</v>
      </c>
      <c r="B7" s="11">
        <v>10000</v>
      </c>
      <c r="C7" s="2">
        <v>64672</v>
      </c>
      <c r="D7" s="2">
        <v>100709</v>
      </c>
      <c r="E7" s="2">
        <v>96592</v>
      </c>
      <c r="F7" s="2">
        <v>137133</v>
      </c>
      <c r="G7" s="2">
        <v>150535</v>
      </c>
      <c r="H7" s="2">
        <v>109043</v>
      </c>
      <c r="I7" s="101">
        <v>252934</v>
      </c>
      <c r="J7" s="2">
        <v>121413</v>
      </c>
      <c r="K7" s="2">
        <v>146837.96</v>
      </c>
      <c r="L7" s="2">
        <v>110401</v>
      </c>
      <c r="M7" s="2">
        <v>84940</v>
      </c>
      <c r="N7" s="2">
        <f>'GF10000'!N62</f>
        <v>72344</v>
      </c>
      <c r="O7" s="2">
        <f>'GF10000'!O62</f>
        <v>182563.617</v>
      </c>
      <c r="P7" s="2">
        <f>'GF10000'!P62</f>
        <v>214143.7405</v>
      </c>
      <c r="Q7" s="2">
        <f>'GF10000'!Q62</f>
        <v>139544.225</v>
      </c>
      <c r="R7" s="2">
        <f>'GF10000'!R62</f>
        <v>134513.7405</v>
      </c>
      <c r="S7" s="2">
        <f>'GF10000'!S62</f>
        <v>134513.7405</v>
      </c>
      <c r="T7" s="66">
        <f>'GF10000'!R64</f>
        <v>5030.484499999991</v>
      </c>
      <c r="U7" s="66">
        <f aca="true" t="shared" si="0" ref="U7:U16">S7-R7</f>
        <v>0</v>
      </c>
      <c r="V7" s="66">
        <f>'GF10000'!R65</f>
        <v>79630</v>
      </c>
      <c r="W7" s="95">
        <f>(R7-P7)/P7</f>
        <v>-0.37185303578836104</v>
      </c>
      <c r="X7" s="66">
        <f>'GF10000'!R66</f>
        <v>0</v>
      </c>
      <c r="Y7" s="74">
        <f>(S7-P7)/P7</f>
        <v>-0.37185303578836104</v>
      </c>
      <c r="Z7" s="81" t="e">
        <f>R7/R$55</f>
        <v>#REF!</v>
      </c>
      <c r="AA7" s="81" t="e">
        <f>S7/S$55</f>
        <v>#REF!</v>
      </c>
    </row>
    <row r="8" spans="1:27" ht="12.75">
      <c r="A8" t="s">
        <v>381</v>
      </c>
      <c r="B8" s="11">
        <v>13000</v>
      </c>
      <c r="C8" s="2">
        <v>172023</v>
      </c>
      <c r="D8" s="2">
        <v>192947</v>
      </c>
      <c r="E8" s="2">
        <v>206866</v>
      </c>
      <c r="F8" s="2">
        <v>222152</v>
      </c>
      <c r="G8" s="2">
        <v>217336</v>
      </c>
      <c r="H8" s="2">
        <v>251734</v>
      </c>
      <c r="I8" s="39">
        <v>293432</v>
      </c>
      <c r="J8" s="2">
        <v>307781</v>
      </c>
      <c r="K8" s="2">
        <v>334207</v>
      </c>
      <c r="L8" s="2">
        <v>346323</v>
      </c>
      <c r="M8" s="2">
        <v>338926</v>
      </c>
      <c r="N8" s="2">
        <f>'GF13000'!N38</f>
        <v>155864</v>
      </c>
      <c r="O8" s="2">
        <f>'GF13000'!O38</f>
        <v>312329.961</v>
      </c>
      <c r="P8" s="2">
        <f>'GF13000'!P38</f>
        <v>361359.3895</v>
      </c>
      <c r="Q8" s="2">
        <f>'GF13000'!Q38</f>
        <v>343822.26282</v>
      </c>
      <c r="R8" s="2">
        <f>'GF13000'!R38</f>
        <v>343822.26282</v>
      </c>
      <c r="S8" s="2">
        <f>'GF13000'!S38</f>
        <v>342822.26282</v>
      </c>
      <c r="T8" s="66">
        <f>'GF13000'!R40</f>
        <v>0</v>
      </c>
      <c r="U8" s="66">
        <f t="shared" si="0"/>
        <v>-1000</v>
      </c>
      <c r="V8" s="66">
        <f>'GF13000'!R41</f>
        <v>17537.126679999987</v>
      </c>
      <c r="W8" s="95">
        <f aca="true" t="shared" si="1" ref="W8:W53">(R8-P8)/P8</f>
        <v>-0.04853098380608147</v>
      </c>
      <c r="X8" s="66">
        <f>'GF13000'!R42</f>
        <v>1000</v>
      </c>
      <c r="Y8" s="74">
        <f aca="true" t="shared" si="2" ref="Y8:Y55">(S8-P8)/P8</f>
        <v>-0.051298311926110854</v>
      </c>
      <c r="Z8" s="81" t="e">
        <f aca="true" t="shared" si="3" ref="Z8:Z53">R8/Q$55</f>
        <v>#REF!</v>
      </c>
      <c r="AA8" s="81" t="e">
        <f aca="true" t="shared" si="4" ref="AA8:AA37">S8/S$55</f>
        <v>#REF!</v>
      </c>
    </row>
    <row r="9" spans="1:27" ht="12.75">
      <c r="A9" t="s">
        <v>379</v>
      </c>
      <c r="B9" s="11">
        <v>14000</v>
      </c>
      <c r="C9" s="2">
        <v>28622</v>
      </c>
      <c r="D9" s="2">
        <v>45160</v>
      </c>
      <c r="E9" s="2">
        <v>21951</v>
      </c>
      <c r="F9" s="2">
        <v>28703</v>
      </c>
      <c r="G9" s="2">
        <v>25816</v>
      </c>
      <c r="H9" s="2">
        <v>30168</v>
      </c>
      <c r="I9" s="2">
        <v>18239</v>
      </c>
      <c r="J9" s="2">
        <v>31154</v>
      </c>
      <c r="K9" s="2">
        <v>24155</v>
      </c>
      <c r="L9" s="2">
        <v>30235</v>
      </c>
      <c r="M9" s="2">
        <v>19955</v>
      </c>
      <c r="N9" s="2">
        <f>'GF14000'!N32</f>
        <v>2400</v>
      </c>
      <c r="O9" s="2">
        <f>'GF14000'!O32</f>
        <v>16325</v>
      </c>
      <c r="P9" s="2">
        <f>'GF14000'!P32</f>
        <v>16390</v>
      </c>
      <c r="Q9" s="2">
        <f>'GF14000'!Q32</f>
        <v>28930</v>
      </c>
      <c r="R9" s="2">
        <f>'GF14000'!R32</f>
        <v>20712</v>
      </c>
      <c r="S9" s="2">
        <f>'GF14000'!S32</f>
        <v>20712</v>
      </c>
      <c r="T9" s="66">
        <f>'GF14000'!R34</f>
        <v>8218</v>
      </c>
      <c r="U9" s="66">
        <f t="shared" si="0"/>
        <v>0</v>
      </c>
      <c r="V9" s="66">
        <f>'GF14000'!R35</f>
        <v>-4322</v>
      </c>
      <c r="W9" s="95">
        <f>(R9-P9)/P9</f>
        <v>0.2636973764490543</v>
      </c>
      <c r="X9" s="66">
        <f>'GF14000'!R36</f>
        <v>0</v>
      </c>
      <c r="Y9" s="74">
        <f t="shared" si="2"/>
        <v>0.2636973764490543</v>
      </c>
      <c r="Z9" s="81" t="e">
        <f t="shared" si="3"/>
        <v>#REF!</v>
      </c>
      <c r="AA9" s="81" t="e">
        <f t="shared" si="4"/>
        <v>#REF!</v>
      </c>
    </row>
    <row r="10" spans="1:27" ht="12.75">
      <c r="A10" t="s">
        <v>380</v>
      </c>
      <c r="B10" s="11">
        <v>14100</v>
      </c>
      <c r="C10" s="2">
        <v>35577</v>
      </c>
      <c r="D10" s="2">
        <v>36084</v>
      </c>
      <c r="E10" s="2">
        <v>36095</v>
      </c>
      <c r="F10" s="2">
        <v>36506</v>
      </c>
      <c r="G10" s="2">
        <v>32351</v>
      </c>
      <c r="H10" s="2">
        <v>37611</v>
      </c>
      <c r="I10" s="2">
        <v>32749</v>
      </c>
      <c r="J10" s="2">
        <v>37396</v>
      </c>
      <c r="K10" s="2">
        <v>44368</v>
      </c>
      <c r="L10" s="2">
        <v>47976</v>
      </c>
      <c r="M10" s="2">
        <v>40413</v>
      </c>
      <c r="N10" s="2">
        <f>'GF14100'!N38</f>
        <v>12336</v>
      </c>
      <c r="O10" s="2">
        <f>'GF14100'!O38</f>
        <v>32243.014</v>
      </c>
      <c r="P10" s="2">
        <f>'GF14100'!P38</f>
        <v>33551.746</v>
      </c>
      <c r="Q10" s="2">
        <f>'GF14100'!Q38</f>
        <v>37280.58442</v>
      </c>
      <c r="R10" s="2">
        <f>'GF14100'!R38</f>
        <v>29740.936</v>
      </c>
      <c r="S10" s="2">
        <f>'GF14100'!S38</f>
        <v>32890.936</v>
      </c>
      <c r="T10" s="66">
        <f>'GF14100'!R40</f>
        <v>7539.648419999998</v>
      </c>
      <c r="U10" s="66">
        <f t="shared" si="0"/>
        <v>3150</v>
      </c>
      <c r="V10" s="66">
        <f>'GF14100'!R41</f>
        <v>3810.8099999999977</v>
      </c>
      <c r="W10" s="95">
        <f>(R10-P10)/P10</f>
        <v>-0.11358008015439786</v>
      </c>
      <c r="X10" s="66">
        <f>'GF14100'!R42</f>
        <v>-3150</v>
      </c>
      <c r="Y10" s="74">
        <f t="shared" si="2"/>
        <v>-0.01969524924276661</v>
      </c>
      <c r="Z10" s="81" t="e">
        <f t="shared" si="3"/>
        <v>#REF!</v>
      </c>
      <c r="AA10" s="81" t="e">
        <f t="shared" si="4"/>
        <v>#REF!</v>
      </c>
    </row>
    <row r="11" spans="1:27" ht="12.75">
      <c r="A11" t="s">
        <v>130</v>
      </c>
      <c r="B11" s="11">
        <v>15300</v>
      </c>
      <c r="C11" s="2">
        <v>85176</v>
      </c>
      <c r="D11" s="2">
        <v>74778</v>
      </c>
      <c r="E11" s="2">
        <v>61939</v>
      </c>
      <c r="F11" s="2">
        <v>57048</v>
      </c>
      <c r="G11" s="2">
        <v>68499</v>
      </c>
      <c r="H11" s="2">
        <v>73693</v>
      </c>
      <c r="I11" s="2">
        <v>73151</v>
      </c>
      <c r="J11" s="2">
        <v>54328</v>
      </c>
      <c r="K11" s="2">
        <v>93011</v>
      </c>
      <c r="L11" s="2">
        <v>59429</v>
      </c>
      <c r="M11" s="2">
        <v>75478</v>
      </c>
      <c r="N11" s="2">
        <f>'GF15300'!N11</f>
        <v>28504</v>
      </c>
      <c r="O11" s="2">
        <f>'GF15300'!O11</f>
        <v>52084</v>
      </c>
      <c r="P11" s="2">
        <f>'GF15300'!P11</f>
        <v>70000</v>
      </c>
      <c r="Q11" s="2">
        <f>'GF15300'!Q11</f>
        <v>75000</v>
      </c>
      <c r="R11" s="2">
        <f>'GF15300'!R11</f>
        <v>75000</v>
      </c>
      <c r="S11" s="2">
        <f>'GF15300'!S11</f>
        <v>75000</v>
      </c>
      <c r="T11" s="66">
        <f>'GF15300'!R13</f>
        <v>0</v>
      </c>
      <c r="U11" s="66">
        <f t="shared" si="0"/>
        <v>0</v>
      </c>
      <c r="V11" s="66">
        <f>'GF15300'!R14</f>
        <v>-5000</v>
      </c>
      <c r="W11" s="95">
        <f t="shared" si="1"/>
        <v>0.07142857142857142</v>
      </c>
      <c r="X11" s="66">
        <f>'GF15300'!R15</f>
        <v>0</v>
      </c>
      <c r="Y11" s="74">
        <f t="shared" si="2"/>
        <v>0.07142857142857142</v>
      </c>
      <c r="Z11" s="81" t="e">
        <f t="shared" si="3"/>
        <v>#REF!</v>
      </c>
      <c r="AA11" s="81" t="e">
        <f t="shared" si="4"/>
        <v>#REF!</v>
      </c>
    </row>
    <row r="12" spans="1:27" ht="12.75">
      <c r="A12" t="s">
        <v>132</v>
      </c>
      <c r="B12" s="11">
        <v>15450</v>
      </c>
      <c r="C12" s="2">
        <v>149863</v>
      </c>
      <c r="D12" s="2">
        <v>185873</v>
      </c>
      <c r="E12" s="2">
        <v>193528</v>
      </c>
      <c r="F12" s="2">
        <v>210806</v>
      </c>
      <c r="G12" s="2">
        <v>222132</v>
      </c>
      <c r="H12" s="2">
        <v>217854</v>
      </c>
      <c r="I12" s="2">
        <v>210945</v>
      </c>
      <c r="J12" s="2">
        <v>234447</v>
      </c>
      <c r="K12" s="2">
        <v>256927</v>
      </c>
      <c r="L12" s="2">
        <v>229705</v>
      </c>
      <c r="M12" s="2">
        <v>230330</v>
      </c>
      <c r="N12" s="2">
        <f>'GF15450'!N44</f>
        <v>120234</v>
      </c>
      <c r="O12" s="2">
        <f>'GF15450'!O44</f>
        <v>239484.087</v>
      </c>
      <c r="P12" s="2">
        <f>'GF15450'!P44</f>
        <v>245620.41356000002</v>
      </c>
      <c r="Q12" s="2">
        <f>'GF15450'!Q44</f>
        <v>288250.512</v>
      </c>
      <c r="R12" s="2">
        <f>'GF15450'!R44</f>
        <v>284400.77035999997</v>
      </c>
      <c r="S12" s="2">
        <f>'GF15450'!S44</f>
        <v>282900.77035999997</v>
      </c>
      <c r="T12" s="66">
        <f>'GF15450'!R46</f>
        <v>3849.741640000022</v>
      </c>
      <c r="U12" s="66">
        <f t="shared" si="0"/>
        <v>-1500</v>
      </c>
      <c r="V12" s="66">
        <f>'GF15450'!R47</f>
        <v>-38780.35679999995</v>
      </c>
      <c r="W12" s="95">
        <f t="shared" si="1"/>
        <v>0.15788735243101734</v>
      </c>
      <c r="X12" s="66">
        <f>'GF15450'!R48</f>
        <v>1500</v>
      </c>
      <c r="Y12" s="74">
        <f t="shared" si="2"/>
        <v>0.15178036816916737</v>
      </c>
      <c r="Z12" s="81" t="e">
        <f t="shared" si="3"/>
        <v>#REF!</v>
      </c>
      <c r="AA12" s="81" t="e">
        <f t="shared" si="4"/>
        <v>#REF!</v>
      </c>
    </row>
    <row r="13" spans="1:27" ht="12.75">
      <c r="A13" t="s">
        <v>157</v>
      </c>
      <c r="B13" s="11">
        <v>15500</v>
      </c>
      <c r="C13" s="2">
        <v>158133</v>
      </c>
      <c r="D13" s="2">
        <v>222316</v>
      </c>
      <c r="E13" s="2">
        <v>233762</v>
      </c>
      <c r="F13" s="2">
        <v>278053</v>
      </c>
      <c r="G13" s="2">
        <v>231817</v>
      </c>
      <c r="H13" s="2">
        <v>240647</v>
      </c>
      <c r="I13" s="2">
        <v>259646</v>
      </c>
      <c r="J13" s="2">
        <v>249921</v>
      </c>
      <c r="K13" s="2">
        <v>263070</v>
      </c>
      <c r="L13" s="2">
        <v>420252</v>
      </c>
      <c r="M13" s="2">
        <v>894797</v>
      </c>
      <c r="N13" s="2">
        <f>'GF15500'!N71</f>
        <v>513481</v>
      </c>
      <c r="O13" s="2">
        <f>'GF15500'!O71</f>
        <v>992113.936</v>
      </c>
      <c r="P13" s="2">
        <f>'GF15500'!P71</f>
        <v>843424.16</v>
      </c>
      <c r="Q13" s="2">
        <f>'GF15500'!Q71</f>
        <v>679419.12051</v>
      </c>
      <c r="R13" s="2">
        <f>'GF15500'!R71</f>
        <v>386549.12051</v>
      </c>
      <c r="S13" s="2">
        <f>'GF15500'!S71</f>
        <v>386549.12051</v>
      </c>
      <c r="T13" s="66">
        <f>'GF15500'!R73</f>
        <v>292870.00000000006</v>
      </c>
      <c r="U13" s="66">
        <f t="shared" si="0"/>
        <v>0</v>
      </c>
      <c r="V13" s="66">
        <f>'GF15500'!R74</f>
        <v>456875.03949000005</v>
      </c>
      <c r="W13" s="95">
        <f t="shared" si="1"/>
        <v>-0.541690718807486</v>
      </c>
      <c r="X13" s="66">
        <f>'GF15500'!R75</f>
        <v>0</v>
      </c>
      <c r="Y13" s="74">
        <f t="shared" si="2"/>
        <v>-0.541690718807486</v>
      </c>
      <c r="Z13" s="81" t="e">
        <f t="shared" si="3"/>
        <v>#REF!</v>
      </c>
      <c r="AA13" s="81" t="e">
        <f t="shared" si="4"/>
        <v>#REF!</v>
      </c>
    </row>
    <row r="14" spans="1:27" ht="12.75">
      <c r="A14" t="s">
        <v>168</v>
      </c>
      <c r="B14" s="11">
        <v>15550</v>
      </c>
      <c r="C14" s="2">
        <v>173041</v>
      </c>
      <c r="D14" s="2">
        <v>178636</v>
      </c>
      <c r="E14" s="2">
        <v>203442</v>
      </c>
      <c r="F14" s="2">
        <v>215708</v>
      </c>
      <c r="G14" s="2">
        <v>265713</v>
      </c>
      <c r="H14" s="2">
        <v>276152</v>
      </c>
      <c r="I14" s="2">
        <v>446269</v>
      </c>
      <c r="J14" s="2">
        <v>435633</v>
      </c>
      <c r="K14" s="2">
        <v>346273</v>
      </c>
      <c r="L14" s="2">
        <v>309495</v>
      </c>
      <c r="M14" s="2">
        <v>281752</v>
      </c>
      <c r="N14" s="2">
        <f>'GF15550'!N21</f>
        <v>209128</v>
      </c>
      <c r="O14" s="2">
        <f>'GF15550'!O21</f>
        <v>417018</v>
      </c>
      <c r="P14" s="2">
        <f>'GF15550'!P21</f>
        <v>412000</v>
      </c>
      <c r="Q14" s="2">
        <f>'GF15550'!Q21</f>
        <v>236000</v>
      </c>
      <c r="R14" s="2">
        <f>'GF15550'!R21</f>
        <v>236000</v>
      </c>
      <c r="S14" s="2">
        <f>'GF15550'!S21</f>
        <v>236000</v>
      </c>
      <c r="T14" s="66">
        <f>'GF15550'!R23</f>
        <v>0</v>
      </c>
      <c r="U14" s="66">
        <f t="shared" si="0"/>
        <v>0</v>
      </c>
      <c r="V14" s="66">
        <f>'GF15550'!R24</f>
        <v>176000</v>
      </c>
      <c r="W14" s="95">
        <f t="shared" si="1"/>
        <v>-0.42718446601941745</v>
      </c>
      <c r="X14" s="66">
        <f>'GF15550'!R25</f>
        <v>0</v>
      </c>
      <c r="Y14" s="74">
        <f t="shared" si="2"/>
        <v>-0.42718446601941745</v>
      </c>
      <c r="Z14" s="81" t="e">
        <f t="shared" si="3"/>
        <v>#REF!</v>
      </c>
      <c r="AA14" s="81" t="e">
        <f t="shared" si="4"/>
        <v>#REF!</v>
      </c>
    </row>
    <row r="15" spans="1:27" ht="12.75">
      <c r="A15" t="s">
        <v>315</v>
      </c>
      <c r="B15" s="11">
        <v>15600</v>
      </c>
      <c r="C15" s="2">
        <v>35584</v>
      </c>
      <c r="D15" s="2">
        <v>47933</v>
      </c>
      <c r="E15" s="2">
        <v>44439</v>
      </c>
      <c r="F15" s="2">
        <v>48404</v>
      </c>
      <c r="G15" s="2">
        <v>57113</v>
      </c>
      <c r="H15" s="2">
        <v>47704</v>
      </c>
      <c r="I15" s="2">
        <v>33528</v>
      </c>
      <c r="J15" s="2">
        <v>37633</v>
      </c>
      <c r="K15" s="2">
        <v>41914</v>
      </c>
      <c r="L15" s="2">
        <v>41858</v>
      </c>
      <c r="M15" s="2">
        <v>39122</v>
      </c>
      <c r="N15" s="2">
        <f>'GF15600'!N9</f>
        <v>38950</v>
      </c>
      <c r="O15" s="2">
        <f>'GF15600'!O9</f>
        <v>38950</v>
      </c>
      <c r="P15" s="2">
        <f>'GF15600'!P9</f>
        <v>42000</v>
      </c>
      <c r="Q15" s="2">
        <f>'GF15600'!Q9</f>
        <v>42000</v>
      </c>
      <c r="R15" s="2">
        <f>'GF15600'!R9</f>
        <v>42000</v>
      </c>
      <c r="S15" s="2">
        <f>'GF15600'!S9</f>
        <v>42000</v>
      </c>
      <c r="T15" s="66">
        <f>'GF15600'!R11</f>
        <v>0</v>
      </c>
      <c r="U15" s="66">
        <f t="shared" si="0"/>
        <v>0</v>
      </c>
      <c r="V15" s="66">
        <f>'GF15600'!R12</f>
        <v>0</v>
      </c>
      <c r="W15" s="95">
        <f t="shared" si="1"/>
        <v>0</v>
      </c>
      <c r="X15" s="66">
        <f>'GF15600'!R11</f>
        <v>0</v>
      </c>
      <c r="Y15" s="74">
        <f t="shared" si="2"/>
        <v>0</v>
      </c>
      <c r="Z15" s="81" t="e">
        <f t="shared" si="3"/>
        <v>#REF!</v>
      </c>
      <c r="AA15" s="81" t="e">
        <f t="shared" si="4"/>
        <v>#REF!</v>
      </c>
    </row>
    <row r="16" spans="1:27" ht="12.75">
      <c r="A16" t="s">
        <v>169</v>
      </c>
      <c r="B16" s="11">
        <v>15650</v>
      </c>
      <c r="C16" s="2">
        <v>53061</v>
      </c>
      <c r="D16" s="2">
        <v>55005</v>
      </c>
      <c r="E16" s="2">
        <v>58719</v>
      </c>
      <c r="F16" s="2">
        <v>75545</v>
      </c>
      <c r="G16" s="2">
        <v>105675</v>
      </c>
      <c r="H16" s="2">
        <v>111178</v>
      </c>
      <c r="I16" s="2">
        <v>166930</v>
      </c>
      <c r="J16" s="2">
        <v>236975</v>
      </c>
      <c r="K16" s="2">
        <v>606818</v>
      </c>
      <c r="L16" s="2">
        <v>462487</v>
      </c>
      <c r="M16" s="2">
        <v>899811</v>
      </c>
      <c r="N16" s="2">
        <f>'GF15650'!N40</f>
        <v>48915</v>
      </c>
      <c r="O16" s="2">
        <f>'GF15650'!O40</f>
        <v>96452</v>
      </c>
      <c r="P16" s="2">
        <f>'GF15650'!P40</f>
        <v>103400</v>
      </c>
      <c r="Q16" s="2">
        <f>'GF15650'!Q40</f>
        <v>135400</v>
      </c>
      <c r="R16" s="2">
        <f>'GF15650'!R40</f>
        <v>135400</v>
      </c>
      <c r="S16" s="2">
        <f>'GF15650'!S40</f>
        <v>105400</v>
      </c>
      <c r="T16" s="66">
        <f>'GF15650'!R42</f>
        <v>0</v>
      </c>
      <c r="U16" s="66">
        <f t="shared" si="0"/>
        <v>-30000</v>
      </c>
      <c r="V16" s="66">
        <f>'GF15650'!R43</f>
        <v>-32000</v>
      </c>
      <c r="W16" s="95">
        <f t="shared" si="1"/>
        <v>0.30947775628626695</v>
      </c>
      <c r="X16" s="66">
        <f>'GF15650'!R44</f>
        <v>30000</v>
      </c>
      <c r="Y16" s="74">
        <f t="shared" si="2"/>
        <v>0.019342359767891684</v>
      </c>
      <c r="Z16" s="81" t="e">
        <f t="shared" si="3"/>
        <v>#REF!</v>
      </c>
      <c r="AA16" s="81" t="e">
        <f t="shared" si="4"/>
        <v>#REF!</v>
      </c>
    </row>
    <row r="17" spans="1:27" ht="12.75">
      <c r="A17" t="s">
        <v>176</v>
      </c>
      <c r="B17" s="11">
        <v>15950</v>
      </c>
      <c r="C17" s="2">
        <v>17971</v>
      </c>
      <c r="D17" s="2">
        <v>23581</v>
      </c>
      <c r="E17" s="2">
        <v>18935</v>
      </c>
      <c r="F17" s="2">
        <v>25342</v>
      </c>
      <c r="G17" s="2">
        <v>21363</v>
      </c>
      <c r="H17" s="2">
        <v>21460</v>
      </c>
      <c r="I17" s="2">
        <v>3495</v>
      </c>
      <c r="J17" s="2">
        <v>3495</v>
      </c>
      <c r="K17" s="2">
        <v>3945</v>
      </c>
      <c r="L17" s="2">
        <v>4245</v>
      </c>
      <c r="M17" s="2">
        <v>3745</v>
      </c>
      <c r="N17" s="2">
        <f>'GF15950'!N13</f>
        <v>4745</v>
      </c>
      <c r="O17" s="2">
        <f>'GF15950'!O13</f>
        <v>4750</v>
      </c>
      <c r="P17" s="2">
        <f>'GF15950'!P13</f>
        <v>4750</v>
      </c>
      <c r="Q17" s="2">
        <f>'GF15950'!Q13</f>
        <v>4250</v>
      </c>
      <c r="R17" s="2">
        <f>'GF15950'!R13</f>
        <v>4250</v>
      </c>
      <c r="S17" s="2">
        <f>'GF15950'!S13</f>
        <v>4250</v>
      </c>
      <c r="T17" s="66">
        <f>'GF15950'!R15</f>
        <v>0</v>
      </c>
      <c r="U17" s="66">
        <f>S17-R17</f>
        <v>0</v>
      </c>
      <c r="V17" s="66">
        <f>'GF15950'!R16</f>
        <v>500</v>
      </c>
      <c r="W17" s="95">
        <f t="shared" si="1"/>
        <v>-0.10526315789473684</v>
      </c>
      <c r="X17" s="70">
        <f>'GF15950'!R17</f>
        <v>0</v>
      </c>
      <c r="Y17" s="74">
        <f t="shared" si="2"/>
        <v>-0.10526315789473684</v>
      </c>
      <c r="Z17" s="81" t="e">
        <f t="shared" si="3"/>
        <v>#REF!</v>
      </c>
      <c r="AA17" s="81" t="e">
        <f t="shared" si="4"/>
        <v>#REF!</v>
      </c>
    </row>
    <row r="18" spans="1:27" ht="12.75">
      <c r="A18" t="s">
        <v>178</v>
      </c>
      <c r="B18" s="11">
        <v>21500</v>
      </c>
      <c r="C18" s="2">
        <v>82518</v>
      </c>
      <c r="D18" s="2">
        <v>100517</v>
      </c>
      <c r="E18" s="2">
        <v>123167</v>
      </c>
      <c r="F18" s="2">
        <v>124311</v>
      </c>
      <c r="G18" s="2">
        <v>99128</v>
      </c>
      <c r="H18" s="2">
        <v>107248</v>
      </c>
      <c r="I18" s="2">
        <v>115740</v>
      </c>
      <c r="J18" s="2">
        <v>124035</v>
      </c>
      <c r="K18" s="2">
        <v>116502</v>
      </c>
      <c r="L18" s="2">
        <v>126972</v>
      </c>
      <c r="M18" s="2">
        <v>176843</v>
      </c>
      <c r="N18" s="2">
        <f>'GF21500'!N27</f>
        <v>79995</v>
      </c>
      <c r="O18" s="2">
        <f>'GF21500'!O27</f>
        <v>137929.14285714284</v>
      </c>
      <c r="P18" s="2">
        <f>'GF21500'!P27</f>
        <v>121057</v>
      </c>
      <c r="Q18" s="2">
        <f>'GF21500'!Q27</f>
        <v>130449</v>
      </c>
      <c r="R18" s="2">
        <f>'GF21500'!R27</f>
        <v>128297.36911</v>
      </c>
      <c r="S18" s="2">
        <f>'GF21500'!S27</f>
        <v>128297.36911</v>
      </c>
      <c r="T18" s="66">
        <f>'GF21500'!R29</f>
        <v>2151.6308900000004</v>
      </c>
      <c r="U18" s="66">
        <f aca="true" t="shared" si="5" ref="U18:U54">S18-R18</f>
        <v>0</v>
      </c>
      <c r="V18" s="66">
        <f>'GF21500'!R30</f>
        <v>-7240.36911</v>
      </c>
      <c r="W18" s="95">
        <f t="shared" si="1"/>
        <v>0.05980958647579239</v>
      </c>
      <c r="X18" s="66">
        <f>'GF21500'!R31</f>
        <v>0</v>
      </c>
      <c r="Y18" s="74">
        <f>(S18-P18)/P18</f>
        <v>0.05980958647579239</v>
      </c>
      <c r="Z18" s="81" t="e">
        <f t="shared" si="3"/>
        <v>#REF!</v>
      </c>
      <c r="AA18" s="81" t="e">
        <f t="shared" si="4"/>
        <v>#REF!</v>
      </c>
    </row>
    <row r="19" spans="1:27" ht="12.75">
      <c r="A19" t="s">
        <v>184</v>
      </c>
      <c r="B19" s="11">
        <v>21800</v>
      </c>
      <c r="C19" s="2">
        <v>173186</v>
      </c>
      <c r="D19" s="2">
        <v>177861</v>
      </c>
      <c r="E19" s="2">
        <v>186967</v>
      </c>
      <c r="F19" s="2">
        <v>207253</v>
      </c>
      <c r="G19" s="2">
        <v>221674</v>
      </c>
      <c r="H19" s="2">
        <v>225575</v>
      </c>
      <c r="I19" s="2">
        <v>279378</v>
      </c>
      <c r="J19" s="2">
        <v>270720</v>
      </c>
      <c r="K19" s="2">
        <v>286151</v>
      </c>
      <c r="L19" s="2">
        <v>295695</v>
      </c>
      <c r="M19" s="2">
        <v>260188</v>
      </c>
      <c r="N19" s="2">
        <f>'GF21800'!N43</f>
        <v>126953</v>
      </c>
      <c r="O19" s="2">
        <f>'GF21800'!O43</f>
        <v>259388</v>
      </c>
      <c r="P19" s="2">
        <f>'GF21800'!P43</f>
        <v>249858.39918</v>
      </c>
      <c r="Q19" s="2">
        <f>'GF21800'!Q43</f>
        <v>257624.927</v>
      </c>
      <c r="R19" s="2">
        <f>'GF21800'!R43</f>
        <v>254824.62558</v>
      </c>
      <c r="S19" s="2">
        <f>'GF21800'!S43</f>
        <v>248324.62558</v>
      </c>
      <c r="T19" s="66">
        <f>'GF21800'!R45</f>
        <v>2800.3014200000034</v>
      </c>
      <c r="U19" s="66">
        <f t="shared" si="5"/>
        <v>-6500</v>
      </c>
      <c r="V19" s="66">
        <f>'GF21800'!R46</f>
        <v>-4966.226399999985</v>
      </c>
      <c r="W19" s="95">
        <f t="shared" si="1"/>
        <v>0.01987616352421387</v>
      </c>
      <c r="X19" s="66">
        <f>'GF21800'!R47</f>
        <v>6500</v>
      </c>
      <c r="Y19" s="74">
        <f t="shared" si="2"/>
        <v>-0.006138571306922815</v>
      </c>
      <c r="Z19" s="81" t="e">
        <f t="shared" si="3"/>
        <v>#REF!</v>
      </c>
      <c r="AA19" s="81" t="e">
        <f t="shared" si="4"/>
        <v>#REF!</v>
      </c>
    </row>
    <row r="20" spans="1:27" ht="12.75">
      <c r="A20" t="s">
        <v>188</v>
      </c>
      <c r="B20" s="11">
        <v>22000</v>
      </c>
      <c r="C20" s="2">
        <v>7071</v>
      </c>
      <c r="D20" s="2">
        <v>7908</v>
      </c>
      <c r="E20" s="2">
        <v>7908</v>
      </c>
      <c r="F20" s="2">
        <v>6620</v>
      </c>
      <c r="G20" s="2">
        <v>6588</v>
      </c>
      <c r="H20" s="2">
        <v>6503</v>
      </c>
      <c r="I20" s="2">
        <v>6459</v>
      </c>
      <c r="J20" s="2">
        <v>7715</v>
      </c>
      <c r="K20" s="2">
        <v>7900</v>
      </c>
      <c r="L20" s="2">
        <v>10013</v>
      </c>
      <c r="M20" s="2">
        <v>12617</v>
      </c>
      <c r="N20" s="2">
        <f>'GF22000'!N15</f>
        <v>4061</v>
      </c>
      <c r="O20" s="2">
        <f>'GF22000'!O15</f>
        <v>9262</v>
      </c>
      <c r="P20" s="2">
        <f>'GF22000'!P15</f>
        <v>8740</v>
      </c>
      <c r="Q20" s="2">
        <f>'GF22000'!Q15</f>
        <v>15233</v>
      </c>
      <c r="R20" s="2">
        <f>'GF22000'!R15</f>
        <v>9340</v>
      </c>
      <c r="S20" s="2">
        <f>'GF22000'!S15</f>
        <v>9340</v>
      </c>
      <c r="T20" s="66">
        <f>'GF22000'!R17</f>
        <v>5893</v>
      </c>
      <c r="U20" s="66">
        <f t="shared" si="5"/>
        <v>0</v>
      </c>
      <c r="V20" s="66">
        <f>'GF22000'!R18</f>
        <v>-600</v>
      </c>
      <c r="W20" s="95">
        <f t="shared" si="1"/>
        <v>0.06864988558352403</v>
      </c>
      <c r="X20" s="66">
        <f>'GF22000'!R19</f>
        <v>0</v>
      </c>
      <c r="Y20" s="74">
        <f t="shared" si="2"/>
        <v>0.06864988558352403</v>
      </c>
      <c r="Z20" s="81" t="e">
        <f t="shared" si="3"/>
        <v>#REF!</v>
      </c>
      <c r="AA20" s="81" t="e">
        <f t="shared" si="4"/>
        <v>#REF!</v>
      </c>
    </row>
    <row r="21" spans="1:27" ht="12.75">
      <c r="A21" s="30" t="s">
        <v>189</v>
      </c>
      <c r="B21" s="11">
        <v>24000</v>
      </c>
      <c r="C21" s="2">
        <v>99662</v>
      </c>
      <c r="D21" s="2">
        <v>109429</v>
      </c>
      <c r="E21" s="2">
        <v>115436</v>
      </c>
      <c r="F21" s="2">
        <v>126753</v>
      </c>
      <c r="G21" s="2">
        <v>131643</v>
      </c>
      <c r="H21" s="2">
        <v>133436</v>
      </c>
      <c r="I21" s="2">
        <v>146898</v>
      </c>
      <c r="J21" s="2">
        <v>153640</v>
      </c>
      <c r="K21" s="2">
        <v>171119</v>
      </c>
      <c r="L21" s="2">
        <v>185075</v>
      </c>
      <c r="M21" s="2">
        <v>192095</v>
      </c>
      <c r="N21" s="2">
        <f>'GF24000'!N29</f>
        <v>74563</v>
      </c>
      <c r="O21" s="2">
        <f>'GF24000'!O29</f>
        <v>148921</v>
      </c>
      <c r="P21" s="2">
        <f>'GF24000'!P29</f>
        <v>203458.11354</v>
      </c>
      <c r="Q21" s="2">
        <f>'GF24000'!Q29</f>
        <v>166464.3345</v>
      </c>
      <c r="R21" s="2">
        <f>'GF24000'!R29</f>
        <v>165964.24837999998</v>
      </c>
      <c r="S21" s="2">
        <f>'GF24000'!S29</f>
        <v>165464.24837999998</v>
      </c>
      <c r="T21" s="66">
        <f>'GF24000'!R31</f>
        <v>500.08612000002177</v>
      </c>
      <c r="U21" s="66">
        <f t="shared" si="5"/>
        <v>-500</v>
      </c>
      <c r="V21" s="66">
        <f>'GF24000'!R32</f>
        <v>37493.865160000016</v>
      </c>
      <c r="W21" s="95">
        <f t="shared" si="1"/>
        <v>-0.1842829686545221</v>
      </c>
      <c r="X21" s="66">
        <f>'GF24000'!R33</f>
        <v>500</v>
      </c>
      <c r="Y21" s="74">
        <f t="shared" si="2"/>
        <v>-0.18674047694111937</v>
      </c>
      <c r="Z21" s="81" t="e">
        <f t="shared" si="3"/>
        <v>#REF!</v>
      </c>
      <c r="AA21" s="81" t="e">
        <f t="shared" si="4"/>
        <v>#REF!</v>
      </c>
    </row>
    <row r="22" spans="1:27" ht="12.75">
      <c r="A22" t="s">
        <v>191</v>
      </c>
      <c r="B22" s="11">
        <v>24500</v>
      </c>
      <c r="C22" s="2">
        <v>110548</v>
      </c>
      <c r="D22" s="2">
        <v>115144</v>
      </c>
      <c r="E22" s="2">
        <v>124280</v>
      </c>
      <c r="F22" s="2">
        <v>145209</v>
      </c>
      <c r="G22" s="2">
        <v>147557</v>
      </c>
      <c r="H22" s="2">
        <v>153657</v>
      </c>
      <c r="I22" s="2">
        <v>166308</v>
      </c>
      <c r="J22" s="2">
        <v>192218</v>
      </c>
      <c r="K22" s="2">
        <v>208771</v>
      </c>
      <c r="L22" s="2">
        <v>221746</v>
      </c>
      <c r="M22" s="2">
        <v>237680</v>
      </c>
      <c r="N22" s="2">
        <f>'GF24500'!N34</f>
        <v>119117</v>
      </c>
      <c r="O22" s="2">
        <f>'GF24500'!O34</f>
        <v>241498</v>
      </c>
      <c r="P22" s="2">
        <f>'GF24500'!P34</f>
        <v>258227.08582</v>
      </c>
      <c r="Q22" s="2">
        <f>'GF24500'!Q34</f>
        <v>269172</v>
      </c>
      <c r="R22" s="2">
        <f>'GF24500'!R34</f>
        <v>264993.12202</v>
      </c>
      <c r="S22" s="2">
        <f>'GF24500'!S34</f>
        <v>264993.12202</v>
      </c>
      <c r="T22" s="66">
        <f>'GF24500'!R36</f>
        <v>4178.87797999999</v>
      </c>
      <c r="U22" s="66">
        <f t="shared" si="5"/>
        <v>0</v>
      </c>
      <c r="V22" s="66">
        <f>'GF24500'!R37</f>
        <v>-6766.036200000002</v>
      </c>
      <c r="W22" s="95">
        <f>(R22-P22)/P22</f>
        <v>0.026201884200158388</v>
      </c>
      <c r="X22" s="66">
        <f>'GF24500'!R38</f>
        <v>0</v>
      </c>
      <c r="Y22" s="74">
        <f t="shared" si="2"/>
        <v>0.026201884200158388</v>
      </c>
      <c r="Z22" s="81" t="e">
        <f t="shared" si="3"/>
        <v>#REF!</v>
      </c>
      <c r="AA22" s="81" t="e">
        <f t="shared" si="4"/>
        <v>#REF!</v>
      </c>
    </row>
    <row r="23" spans="1:27" ht="12.75">
      <c r="A23" t="s">
        <v>192</v>
      </c>
      <c r="B23" s="11">
        <v>26000</v>
      </c>
      <c r="C23" s="2">
        <v>3900</v>
      </c>
      <c r="D23" s="2">
        <v>975</v>
      </c>
      <c r="E23" s="2">
        <v>0</v>
      </c>
      <c r="F23" s="2">
        <v>59572</v>
      </c>
      <c r="G23" s="2">
        <v>63157</v>
      </c>
      <c r="H23" s="2">
        <v>62693</v>
      </c>
      <c r="I23" s="2">
        <v>57791</v>
      </c>
      <c r="J23" s="2">
        <v>63215</v>
      </c>
      <c r="K23" s="2">
        <v>58913</v>
      </c>
      <c r="L23" s="2">
        <v>58810</v>
      </c>
      <c r="M23" s="2">
        <v>15891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66" t="e">
        <f>#REF!</f>
        <v>#REF!</v>
      </c>
      <c r="U23" s="66" t="e">
        <f t="shared" si="5"/>
        <v>#REF!</v>
      </c>
      <c r="V23" s="66" t="e">
        <f>#REF!</f>
        <v>#REF!</v>
      </c>
      <c r="W23" s="95"/>
      <c r="X23" s="66" t="e">
        <f>#REF!</f>
        <v>#REF!</v>
      </c>
      <c r="Y23" s="74" t="e">
        <f t="shared" si="2"/>
        <v>#REF!</v>
      </c>
      <c r="Z23" s="81" t="e">
        <f t="shared" si="3"/>
        <v>#REF!</v>
      </c>
      <c r="AA23" s="81" t="e">
        <f t="shared" si="4"/>
        <v>#REF!</v>
      </c>
    </row>
    <row r="24" spans="1:27" ht="12.75">
      <c r="A24" t="s">
        <v>193</v>
      </c>
      <c r="B24" s="11">
        <v>27000</v>
      </c>
      <c r="C24" s="2">
        <v>39186</v>
      </c>
      <c r="D24" s="2">
        <v>81764</v>
      </c>
      <c r="E24" s="2">
        <v>29469</v>
      </c>
      <c r="F24" s="2">
        <v>56110</v>
      </c>
      <c r="G24" s="2">
        <v>48758</v>
      </c>
      <c r="H24" s="2">
        <v>52494</v>
      </c>
      <c r="I24" s="2">
        <v>37895</v>
      </c>
      <c r="J24" s="2">
        <v>67927</v>
      </c>
      <c r="K24" s="2">
        <v>42577</v>
      </c>
      <c r="L24" s="2">
        <v>52522</v>
      </c>
      <c r="M24" s="2">
        <v>43750</v>
      </c>
      <c r="N24" s="2">
        <f>'GF27000'!N20</f>
        <v>37606</v>
      </c>
      <c r="O24" s="2">
        <f>'GF27000'!O20</f>
        <v>64467.857142857145</v>
      </c>
      <c r="P24" s="2">
        <f>'GF27000'!P20</f>
        <v>50300</v>
      </c>
      <c r="Q24" s="2">
        <f>'GF27000'!Q20</f>
        <v>47600</v>
      </c>
      <c r="R24" s="2">
        <f>'GF27000'!R20</f>
        <v>46800</v>
      </c>
      <c r="S24" s="2">
        <f>'GF27000'!S20</f>
        <v>46800</v>
      </c>
      <c r="T24" s="66">
        <f>'GF27000'!R22</f>
        <v>800</v>
      </c>
      <c r="U24" s="66">
        <f t="shared" si="5"/>
        <v>0</v>
      </c>
      <c r="V24" s="66">
        <f>'GF27000'!R23</f>
        <v>3500</v>
      </c>
      <c r="W24" s="95">
        <f t="shared" si="1"/>
        <v>-0.06958250497017893</v>
      </c>
      <c r="X24" s="66">
        <f>'GF27000'!R24</f>
        <v>0</v>
      </c>
      <c r="Y24" s="74">
        <f t="shared" si="2"/>
        <v>-0.06958250497017893</v>
      </c>
      <c r="Z24" s="81" t="e">
        <f t="shared" si="3"/>
        <v>#REF!</v>
      </c>
      <c r="AA24" s="81" t="e">
        <f t="shared" si="4"/>
        <v>#REF!</v>
      </c>
    </row>
    <row r="25" spans="1:27" ht="12.75">
      <c r="A25" t="s">
        <v>753</v>
      </c>
      <c r="B25" s="11">
        <v>27500</v>
      </c>
      <c r="C25" s="2"/>
      <c r="D25" s="2"/>
      <c r="E25" s="2"/>
      <c r="F25" s="2"/>
      <c r="G25" s="2">
        <v>2241</v>
      </c>
      <c r="H25" s="2">
        <v>1490</v>
      </c>
      <c r="I25" s="2">
        <v>454</v>
      </c>
      <c r="J25" s="2">
        <v>1503</v>
      </c>
      <c r="K25" s="2">
        <v>805</v>
      </c>
      <c r="L25" s="2">
        <v>544</v>
      </c>
      <c r="M25" s="2">
        <v>701</v>
      </c>
      <c r="N25" s="2">
        <f>'GF27500'!J10</f>
        <v>400</v>
      </c>
      <c r="O25" s="2">
        <f>'GF27500'!K10</f>
        <v>1200</v>
      </c>
      <c r="P25" s="2">
        <f>'GF27500'!L10</f>
        <v>1200</v>
      </c>
      <c r="Q25" s="2">
        <f>'GF27500'!M10</f>
        <v>1200</v>
      </c>
      <c r="R25" s="2">
        <f>'GF27500'!N10</f>
        <v>1200</v>
      </c>
      <c r="S25" s="2">
        <f>'GF27500'!O10</f>
        <v>1200</v>
      </c>
      <c r="U25" s="66">
        <f t="shared" si="5"/>
        <v>0</v>
      </c>
      <c r="W25" s="95"/>
      <c r="Y25" s="74"/>
      <c r="Z25" s="81"/>
      <c r="AA25" s="81"/>
    </row>
    <row r="26" spans="1:27" ht="12.75">
      <c r="A26" t="s">
        <v>194</v>
      </c>
      <c r="B26" s="11">
        <v>28000</v>
      </c>
      <c r="C26" s="2">
        <v>43231</v>
      </c>
      <c r="D26" s="2">
        <v>44080</v>
      </c>
      <c r="E26" s="2">
        <v>43893</v>
      </c>
      <c r="F26" s="2">
        <v>57786</v>
      </c>
      <c r="G26" s="2">
        <v>51974</v>
      </c>
      <c r="H26" s="2">
        <v>51014</v>
      </c>
      <c r="I26" s="2">
        <v>50190</v>
      </c>
      <c r="J26" s="2">
        <v>36375</v>
      </c>
      <c r="K26" s="2">
        <v>48250</v>
      </c>
      <c r="L26" s="2">
        <v>67712</v>
      </c>
      <c r="M26" s="2">
        <v>61632</v>
      </c>
      <c r="N26" s="2">
        <f>'GF28000'!N11</f>
        <v>17820</v>
      </c>
      <c r="O26" s="2">
        <f>'GF28000'!O11</f>
        <v>71277</v>
      </c>
      <c r="P26" s="2">
        <f>'GF28000'!P11</f>
        <v>71277</v>
      </c>
      <c r="Q26" s="2">
        <f>'GF28000'!Q11</f>
        <v>71277</v>
      </c>
      <c r="R26" s="2">
        <f>'GF28000'!R11</f>
        <v>71277</v>
      </c>
      <c r="S26" s="2">
        <f>'GF28000'!S11</f>
        <v>71277</v>
      </c>
      <c r="T26" s="66">
        <f>'GF28000'!R13</f>
        <v>0</v>
      </c>
      <c r="U26" s="66">
        <f t="shared" si="5"/>
        <v>0</v>
      </c>
      <c r="V26" s="66">
        <f>'GF28000'!R14</f>
        <v>0</v>
      </c>
      <c r="W26" s="95">
        <f t="shared" si="1"/>
        <v>0</v>
      </c>
      <c r="X26" s="66">
        <f>'GF28000'!R15</f>
        <v>0</v>
      </c>
      <c r="Y26" s="74">
        <f t="shared" si="2"/>
        <v>0</v>
      </c>
      <c r="Z26" s="81" t="e">
        <f t="shared" si="3"/>
        <v>#REF!</v>
      </c>
      <c r="AA26" s="81" t="e">
        <f t="shared" si="4"/>
        <v>#REF!</v>
      </c>
    </row>
    <row r="27" spans="1:27" ht="12.75">
      <c r="A27" t="s">
        <v>195</v>
      </c>
      <c r="B27" s="11">
        <v>28100</v>
      </c>
      <c r="C27" s="2">
        <v>2213</v>
      </c>
      <c r="D27" s="2">
        <v>4077</v>
      </c>
      <c r="E27" s="2">
        <v>447</v>
      </c>
      <c r="F27" s="2">
        <v>1342</v>
      </c>
      <c r="G27" s="2">
        <v>9723</v>
      </c>
      <c r="H27" s="2">
        <v>3862</v>
      </c>
      <c r="I27" s="2">
        <v>2462</v>
      </c>
      <c r="J27" s="2">
        <v>7550</v>
      </c>
      <c r="K27" s="2">
        <v>16307</v>
      </c>
      <c r="L27" s="2">
        <v>11865</v>
      </c>
      <c r="M27" s="2">
        <v>6963</v>
      </c>
      <c r="N27" s="2">
        <f>'GF28100'!N17</f>
        <v>989</v>
      </c>
      <c r="O27" s="2">
        <f>'GF28100'!O17</f>
        <v>1978</v>
      </c>
      <c r="P27" s="2">
        <f>'GF28100'!P17</f>
        <v>11791</v>
      </c>
      <c r="Q27" s="2">
        <f>'GF28100'!Q17</f>
        <v>23924</v>
      </c>
      <c r="R27" s="2">
        <f>'GF28100'!R17</f>
        <v>23474</v>
      </c>
      <c r="S27" s="2">
        <f>'GF28100'!S17</f>
        <v>23474</v>
      </c>
      <c r="T27" s="66">
        <f>'GF28100'!R19</f>
        <v>450</v>
      </c>
      <c r="U27" s="66">
        <f t="shared" si="5"/>
        <v>0</v>
      </c>
      <c r="V27" s="66">
        <f>'GF28100'!R20</f>
        <v>-11683</v>
      </c>
      <c r="W27" s="95">
        <f t="shared" si="1"/>
        <v>0.9908404715460944</v>
      </c>
      <c r="X27" s="66">
        <f>'GF28100'!R21</f>
        <v>0</v>
      </c>
      <c r="Y27" s="74">
        <f t="shared" si="2"/>
        <v>0.9908404715460944</v>
      </c>
      <c r="Z27" s="81" t="e">
        <f t="shared" si="3"/>
        <v>#REF!</v>
      </c>
      <c r="AA27" s="81" t="e">
        <f t="shared" si="4"/>
        <v>#REF!</v>
      </c>
    </row>
    <row r="28" spans="1:27" ht="12.75">
      <c r="A28" t="s">
        <v>612</v>
      </c>
      <c r="B28" s="11">
        <v>28110</v>
      </c>
      <c r="C28" s="2">
        <v>0</v>
      </c>
      <c r="D28" s="2">
        <v>0</v>
      </c>
      <c r="E28" s="2">
        <v>4539</v>
      </c>
      <c r="F28" s="2">
        <v>6051</v>
      </c>
      <c r="G28" s="2">
        <v>6050</v>
      </c>
      <c r="H28" s="2">
        <v>4538</v>
      </c>
      <c r="I28" s="2">
        <v>4538</v>
      </c>
      <c r="J28" s="2">
        <v>6050</v>
      </c>
      <c r="K28" s="2">
        <v>6050</v>
      </c>
      <c r="L28" s="2">
        <v>0</v>
      </c>
      <c r="M28" s="2">
        <v>0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66" t="e">
        <f>#REF!</f>
        <v>#REF!</v>
      </c>
      <c r="U28" s="66" t="e">
        <f t="shared" si="5"/>
        <v>#REF!</v>
      </c>
      <c r="V28" s="66" t="e">
        <f>#REF!</f>
        <v>#REF!</v>
      </c>
      <c r="W28" s="95" t="e">
        <f t="shared" si="1"/>
        <v>#REF!</v>
      </c>
      <c r="X28" s="66" t="e">
        <f>#REF!</f>
        <v>#REF!</v>
      </c>
      <c r="Y28" s="74" t="e">
        <f t="shared" si="2"/>
        <v>#REF!</v>
      </c>
      <c r="Z28" s="81" t="e">
        <f t="shared" si="3"/>
        <v>#REF!</v>
      </c>
      <c r="AA28" s="81" t="e">
        <f t="shared" si="4"/>
        <v>#REF!</v>
      </c>
    </row>
    <row r="29" spans="1:27" ht="12.75">
      <c r="A29" t="s">
        <v>196</v>
      </c>
      <c r="B29" s="11">
        <v>33000</v>
      </c>
      <c r="C29" s="2">
        <v>874821</v>
      </c>
      <c r="D29" s="2">
        <v>975291</v>
      </c>
      <c r="E29" s="2">
        <v>996230</v>
      </c>
      <c r="F29" s="2">
        <v>1052328</v>
      </c>
      <c r="G29" s="2">
        <v>1095688</v>
      </c>
      <c r="H29" s="2">
        <v>1077882</v>
      </c>
      <c r="I29" s="2">
        <v>1254762</v>
      </c>
      <c r="J29" s="2">
        <v>1447823</v>
      </c>
      <c r="K29" s="2">
        <v>1458397</v>
      </c>
      <c r="L29" s="2">
        <v>1427620</v>
      </c>
      <c r="M29" s="2">
        <v>1403883</v>
      </c>
      <c r="N29" s="2">
        <f>'GF33000'!N64</f>
        <v>1188772</v>
      </c>
      <c r="O29" s="2">
        <f>'GF33000'!O64</f>
        <v>1403039.2000000002</v>
      </c>
      <c r="P29" s="2">
        <f>'GF33000'!P64</f>
        <v>1492481.66278</v>
      </c>
      <c r="Q29" s="2">
        <f>'GF33000'!Q64</f>
        <v>1659499.897015</v>
      </c>
      <c r="R29" s="2">
        <f>'GF33000'!R64</f>
        <v>1629339.897015</v>
      </c>
      <c r="S29" s="2">
        <f>'GF33000'!S64</f>
        <v>1553339.897015</v>
      </c>
      <c r="T29" s="66">
        <f>'GF33000'!R66</f>
        <v>30160</v>
      </c>
      <c r="U29" s="66">
        <f t="shared" si="5"/>
        <v>-76000</v>
      </c>
      <c r="V29" s="66">
        <f>'GF33000'!R67</f>
        <v>-136858.2342350001</v>
      </c>
      <c r="W29" s="95">
        <f t="shared" si="1"/>
        <v>0.09169843599959443</v>
      </c>
      <c r="X29" s="66">
        <f>'GF33000'!R68</f>
        <v>76000</v>
      </c>
      <c r="Y29" s="74">
        <f t="shared" si="2"/>
        <v>0.0407765373288683</v>
      </c>
      <c r="Z29" s="81" t="e">
        <f t="shared" si="3"/>
        <v>#REF!</v>
      </c>
      <c r="AA29" s="81" t="e">
        <f t="shared" si="4"/>
        <v>#REF!</v>
      </c>
    </row>
    <row r="30" spans="1:27" ht="12.75">
      <c r="A30" t="s">
        <v>207</v>
      </c>
      <c r="B30" s="11">
        <v>33260</v>
      </c>
      <c r="C30" s="2">
        <v>580676</v>
      </c>
      <c r="D30" s="2">
        <v>542746</v>
      </c>
      <c r="E30" s="2">
        <v>639988</v>
      </c>
      <c r="F30" s="2">
        <v>721590</v>
      </c>
      <c r="G30" s="2">
        <v>725984</v>
      </c>
      <c r="H30" s="2">
        <v>753980</v>
      </c>
      <c r="I30" s="2">
        <v>777429</v>
      </c>
      <c r="J30" s="2">
        <v>904417</v>
      </c>
      <c r="K30" s="2">
        <v>991311</v>
      </c>
      <c r="L30" s="2">
        <v>998072</v>
      </c>
      <c r="M30" s="2">
        <v>971580</v>
      </c>
      <c r="N30" s="2">
        <f>'GF33260'!N48</f>
        <v>738672</v>
      </c>
      <c r="O30" s="2">
        <f>'GF33260'!O48</f>
        <v>907706.3999999999</v>
      </c>
      <c r="P30" s="2">
        <f>'GF33260'!P48</f>
        <v>979690.7494850002</v>
      </c>
      <c r="Q30" s="2">
        <f>'GF33260'!Q48</f>
        <v>1010703.9985</v>
      </c>
      <c r="R30" s="2">
        <f>'GF33260'!R48</f>
        <v>1000103.9985</v>
      </c>
      <c r="S30" s="2">
        <f>'GF33260'!S48</f>
        <v>990103.9985</v>
      </c>
      <c r="T30" s="66">
        <f>'GF33260'!R50</f>
        <v>10600</v>
      </c>
      <c r="U30" s="66">
        <f t="shared" si="5"/>
        <v>-10000</v>
      </c>
      <c r="V30" s="66">
        <f>'GF33260'!R51</f>
        <v>-20413.249014999834</v>
      </c>
      <c r="W30" s="95">
        <f t="shared" si="1"/>
        <v>0.02083642111118288</v>
      </c>
      <c r="X30" s="66">
        <f>'GF33260'!R52</f>
        <v>10000</v>
      </c>
      <c r="Y30" s="74">
        <f t="shared" si="2"/>
        <v>0.010629118444237457</v>
      </c>
      <c r="Z30" s="81" t="e">
        <f t="shared" si="3"/>
        <v>#REF!</v>
      </c>
      <c r="AA30" s="81" t="e">
        <f t="shared" si="4"/>
        <v>#REF!</v>
      </c>
    </row>
    <row r="31" spans="1:27" ht="12.75">
      <c r="A31" t="s">
        <v>309</v>
      </c>
      <c r="B31" s="11">
        <v>34200</v>
      </c>
      <c r="C31" s="2">
        <v>0</v>
      </c>
      <c r="D31" s="2">
        <v>0</v>
      </c>
      <c r="E31" s="2">
        <v>0</v>
      </c>
      <c r="F31" s="2">
        <v>7898</v>
      </c>
      <c r="G31" s="2">
        <v>10278</v>
      </c>
      <c r="H31" s="2">
        <v>16538</v>
      </c>
      <c r="I31" s="2">
        <v>17931</v>
      </c>
      <c r="J31" s="2">
        <v>32461</v>
      </c>
      <c r="K31" s="2">
        <v>26774</v>
      </c>
      <c r="L31" s="2">
        <v>36968</v>
      </c>
      <c r="M31" s="2">
        <v>19098</v>
      </c>
      <c r="N31" s="2">
        <f>'GF34200'!M17</f>
        <v>11863</v>
      </c>
      <c r="O31" s="2">
        <f>'GF34200'!N17</f>
        <v>30000</v>
      </c>
      <c r="P31" s="2">
        <f>'GF34200'!O17</f>
        <v>30000</v>
      </c>
      <c r="Q31" s="2">
        <f>'GF34200'!P17</f>
        <v>30000</v>
      </c>
      <c r="R31" s="2">
        <f>'GF34200'!Q17</f>
        <v>30000</v>
      </c>
      <c r="S31" s="2">
        <f>'GF34200'!R17</f>
        <v>30000</v>
      </c>
      <c r="T31" s="66">
        <f>'GF34200'!Q19</f>
        <v>0</v>
      </c>
      <c r="U31" s="66">
        <f t="shared" si="5"/>
        <v>0</v>
      </c>
      <c r="V31" s="66">
        <f>'GF34200'!Q20</f>
        <v>0</v>
      </c>
      <c r="W31" s="95">
        <f t="shared" si="1"/>
        <v>0</v>
      </c>
      <c r="X31" s="66">
        <f>'GF34200'!Q21</f>
        <v>0</v>
      </c>
      <c r="Y31" s="74">
        <f t="shared" si="2"/>
        <v>0</v>
      </c>
      <c r="Z31" s="81" t="e">
        <f t="shared" si="3"/>
        <v>#REF!</v>
      </c>
      <c r="AA31" s="81" t="e">
        <f t="shared" si="4"/>
        <v>#REF!</v>
      </c>
    </row>
    <row r="32" spans="1:27" ht="12.75">
      <c r="A32" t="s">
        <v>217</v>
      </c>
      <c r="B32" s="11">
        <v>36000</v>
      </c>
      <c r="C32" s="2">
        <v>738226</v>
      </c>
      <c r="D32" s="2">
        <v>844120</v>
      </c>
      <c r="E32" s="2">
        <v>894600</v>
      </c>
      <c r="F32" s="2">
        <v>991800</v>
      </c>
      <c r="G32" s="2">
        <v>858911</v>
      </c>
      <c r="H32" s="2">
        <v>835838</v>
      </c>
      <c r="I32" s="2">
        <v>933437</v>
      </c>
      <c r="J32" s="2">
        <v>1325312</v>
      </c>
      <c r="K32" s="2">
        <v>1402333</v>
      </c>
      <c r="L32" s="2">
        <v>1643752</v>
      </c>
      <c r="M32" s="2">
        <v>1589316</v>
      </c>
      <c r="N32" s="2">
        <f>'GF36000'!N55</f>
        <v>1408227</v>
      </c>
      <c r="O32" s="2">
        <f>'GF36000'!O55</f>
        <v>1783029.5999999999</v>
      </c>
      <c r="P32" s="2">
        <f>'GF36000'!P55</f>
        <v>1714321.99142</v>
      </c>
      <c r="Q32" s="2">
        <f>'GF36000'!Q55</f>
        <v>1811291.0957700002</v>
      </c>
      <c r="R32" s="2">
        <f>'GF36000'!R55</f>
        <v>1721928.94577</v>
      </c>
      <c r="S32" s="2">
        <f>'GF36000'!S55</f>
        <v>1695928.94577</v>
      </c>
      <c r="T32" s="66">
        <f>'GF36000'!R57</f>
        <v>89362.15000000014</v>
      </c>
      <c r="U32" s="66">
        <f t="shared" si="5"/>
        <v>-26000</v>
      </c>
      <c r="V32" s="66">
        <f>'GF36000'!R58</f>
        <v>-7606.9543500000145</v>
      </c>
      <c r="W32" s="95">
        <f t="shared" si="1"/>
        <v>0.004437296136940444</v>
      </c>
      <c r="X32" s="66">
        <f>'GF36000'!R59</f>
        <v>26000</v>
      </c>
      <c r="Y32" s="74">
        <f t="shared" si="2"/>
        <v>-0.010729049584649342</v>
      </c>
      <c r="Z32" s="81" t="e">
        <f t="shared" si="3"/>
        <v>#REF!</v>
      </c>
      <c r="AA32" s="81" t="e">
        <f t="shared" si="4"/>
        <v>#REF!</v>
      </c>
    </row>
    <row r="33" spans="1:27" ht="12.75">
      <c r="A33" t="s">
        <v>220</v>
      </c>
      <c r="B33" s="11">
        <v>37000</v>
      </c>
      <c r="C33" s="2">
        <v>9300</v>
      </c>
      <c r="D33" s="2">
        <v>10985</v>
      </c>
      <c r="E33" s="2">
        <v>11930</v>
      </c>
      <c r="F33" s="2">
        <v>14303</v>
      </c>
      <c r="G33" s="2">
        <v>10672</v>
      </c>
      <c r="H33" s="2">
        <v>16461</v>
      </c>
      <c r="I33" s="2">
        <v>14950</v>
      </c>
      <c r="J33" s="2">
        <v>18403</v>
      </c>
      <c r="K33" s="2">
        <v>15312</v>
      </c>
      <c r="L33" s="2">
        <v>13765</v>
      </c>
      <c r="M33" s="2">
        <v>14459</v>
      </c>
      <c r="N33" s="2">
        <f>'GF37000'!N37</f>
        <v>8735</v>
      </c>
      <c r="O33" s="2">
        <f>'GF37000'!O37</f>
        <v>18092</v>
      </c>
      <c r="P33" s="2">
        <f>'GF37000'!P37</f>
        <v>15195.74069</v>
      </c>
      <c r="Q33" s="2">
        <f>'GF37000'!Q37</f>
        <v>17050.2455</v>
      </c>
      <c r="R33" s="2">
        <f>'GF37000'!R37</f>
        <v>15895.2455</v>
      </c>
      <c r="S33" s="2">
        <f>'GF37000'!S37</f>
        <v>15795.2455</v>
      </c>
      <c r="T33" s="66">
        <f>'GF37000'!R39</f>
        <v>1155</v>
      </c>
      <c r="U33" s="66">
        <f t="shared" si="5"/>
        <v>-100</v>
      </c>
      <c r="V33" s="66">
        <f>'GF37000'!R40</f>
        <v>-699.5048100000004</v>
      </c>
      <c r="W33" s="95">
        <f t="shared" si="1"/>
        <v>0.046032952540466146</v>
      </c>
      <c r="X33" s="66">
        <f>'GF37000'!R41</f>
        <v>100</v>
      </c>
      <c r="Y33" s="74">
        <f t="shared" si="2"/>
        <v>0.03945216111739271</v>
      </c>
      <c r="Z33" s="81" t="e">
        <f t="shared" si="3"/>
        <v>#REF!</v>
      </c>
      <c r="AA33" s="81" t="e">
        <f t="shared" si="4"/>
        <v>#REF!</v>
      </c>
    </row>
    <row r="34" spans="1:27" ht="12.75">
      <c r="A34" t="s">
        <v>223</v>
      </c>
      <c r="B34" s="11">
        <v>39100</v>
      </c>
      <c r="C34" s="2">
        <v>15000</v>
      </c>
      <c r="D34" s="2">
        <v>30000</v>
      </c>
      <c r="E34" s="2">
        <v>30000</v>
      </c>
      <c r="F34" s="2">
        <v>30000</v>
      </c>
      <c r="G34" s="2">
        <v>30000</v>
      </c>
      <c r="H34" s="2">
        <v>25000</v>
      </c>
      <c r="I34" s="2">
        <v>25000</v>
      </c>
      <c r="J34" s="2">
        <v>30000</v>
      </c>
      <c r="K34" s="2">
        <v>36000</v>
      </c>
      <c r="L34" s="2">
        <v>39000</v>
      </c>
      <c r="M34" s="2">
        <v>29925</v>
      </c>
      <c r="N34" s="2">
        <f>'GF39100'!N12</f>
        <v>14963</v>
      </c>
      <c r="O34" s="2">
        <f>'GF39100'!O12</f>
        <v>29925</v>
      </c>
      <c r="P34" s="2">
        <f>'GF39100'!P12</f>
        <v>29925</v>
      </c>
      <c r="Q34" s="2">
        <f>'GF39100'!Q12</f>
        <v>43550</v>
      </c>
      <c r="R34" s="2">
        <f>'GF39100'!R12</f>
        <v>43550</v>
      </c>
      <c r="S34" s="2">
        <f>'GF39100'!S12</f>
        <v>43550</v>
      </c>
      <c r="T34" s="66">
        <f>'GF39100'!R14</f>
        <v>0</v>
      </c>
      <c r="U34" s="66">
        <f t="shared" si="5"/>
        <v>0</v>
      </c>
      <c r="V34" s="66">
        <f>'GF39100'!R15</f>
        <v>-13625</v>
      </c>
      <c r="W34" s="95">
        <f t="shared" si="1"/>
        <v>0.4553049289891395</v>
      </c>
      <c r="X34" s="66">
        <f>'GF39100'!R16</f>
        <v>0</v>
      </c>
      <c r="Y34" s="74">
        <f t="shared" si="2"/>
        <v>0.4553049289891395</v>
      </c>
      <c r="Z34" s="81" t="e">
        <f t="shared" si="3"/>
        <v>#REF!</v>
      </c>
      <c r="AA34" s="81" t="e">
        <f t="shared" si="4"/>
        <v>#REF!</v>
      </c>
    </row>
    <row r="35" spans="1:27" ht="12.75">
      <c r="A35" t="s">
        <v>224</v>
      </c>
      <c r="B35" s="11">
        <v>39200</v>
      </c>
      <c r="C35" s="2">
        <v>26050</v>
      </c>
      <c r="D35" s="2">
        <v>16085</v>
      </c>
      <c r="E35" s="2">
        <v>13612</v>
      </c>
      <c r="F35" s="2">
        <v>16334</v>
      </c>
      <c r="G35" s="2">
        <v>16290</v>
      </c>
      <c r="H35" s="2">
        <v>16890</v>
      </c>
      <c r="I35" s="2">
        <v>81532</v>
      </c>
      <c r="J35" s="2">
        <v>25689</v>
      </c>
      <c r="K35" s="2">
        <v>20498</v>
      </c>
      <c r="L35" s="2">
        <v>21898</v>
      </c>
      <c r="M35" s="2">
        <v>22077</v>
      </c>
      <c r="N35" s="2">
        <f>'GF39200'!N26</f>
        <v>10658</v>
      </c>
      <c r="O35" s="2">
        <f>'GF39200'!O26</f>
        <v>21772</v>
      </c>
      <c r="P35" s="2">
        <f>'GF39200'!P26</f>
        <v>26784.11352</v>
      </c>
      <c r="Q35" s="2">
        <f>'GF39200'!Q26</f>
        <v>27070.0375</v>
      </c>
      <c r="R35" s="2">
        <f>'GF39200'!R26</f>
        <v>27070.0375</v>
      </c>
      <c r="S35" s="2">
        <f>'GF39200'!S26</f>
        <v>27070.0375</v>
      </c>
      <c r="T35" s="66">
        <f>'GF39200'!R28</f>
        <v>0</v>
      </c>
      <c r="U35" s="66">
        <f t="shared" si="5"/>
        <v>0</v>
      </c>
      <c r="V35" s="66">
        <f>'GF39200'!R29</f>
        <v>-285.9239799999996</v>
      </c>
      <c r="W35" s="95">
        <f t="shared" si="1"/>
        <v>0.010675133219790788</v>
      </c>
      <c r="X35" s="66">
        <f>'GF39200'!R30</f>
        <v>0</v>
      </c>
      <c r="Y35" s="74">
        <f t="shared" si="2"/>
        <v>0.010675133219790788</v>
      </c>
      <c r="Z35" s="81" t="e">
        <f t="shared" si="3"/>
        <v>#REF!</v>
      </c>
      <c r="AA35" s="81" t="e">
        <f t="shared" si="4"/>
        <v>#REF!</v>
      </c>
    </row>
    <row r="36" spans="1:27" ht="12.75">
      <c r="A36" t="s">
        <v>225</v>
      </c>
      <c r="B36" s="11">
        <v>41000</v>
      </c>
      <c r="C36" s="2">
        <v>72278</v>
      </c>
      <c r="D36" s="2">
        <v>106763</v>
      </c>
      <c r="E36" s="2">
        <v>85268</v>
      </c>
      <c r="F36" s="2">
        <v>127835</v>
      </c>
      <c r="G36" s="2">
        <v>117743</v>
      </c>
      <c r="H36" s="2">
        <v>28343</v>
      </c>
      <c r="I36" s="2">
        <v>23490</v>
      </c>
      <c r="J36" s="2">
        <v>29170</v>
      </c>
      <c r="K36" s="2">
        <v>188</v>
      </c>
      <c r="L36" s="2">
        <v>0</v>
      </c>
      <c r="M36" s="2">
        <v>0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66" t="e">
        <f>#REF!</f>
        <v>#REF!</v>
      </c>
      <c r="U36" s="66" t="e">
        <f t="shared" si="5"/>
        <v>#REF!</v>
      </c>
      <c r="V36" s="66" t="e">
        <f>#REF!</f>
        <v>#REF!</v>
      </c>
      <c r="W36" s="95" t="e">
        <f t="shared" si="1"/>
        <v>#REF!</v>
      </c>
      <c r="X36" s="66" t="e">
        <f>#REF!</f>
        <v>#REF!</v>
      </c>
      <c r="Y36" s="74"/>
      <c r="Z36" s="81" t="e">
        <f t="shared" si="3"/>
        <v>#REF!</v>
      </c>
      <c r="AA36" s="81" t="e">
        <f t="shared" si="4"/>
        <v>#REF!</v>
      </c>
    </row>
    <row r="37" spans="1:27" ht="12.75">
      <c r="A37" t="s">
        <v>228</v>
      </c>
      <c r="B37" s="11">
        <v>42000</v>
      </c>
      <c r="C37" s="2">
        <v>710157</v>
      </c>
      <c r="D37" s="2">
        <v>719391</v>
      </c>
      <c r="E37" s="2">
        <v>778382</v>
      </c>
      <c r="F37" s="2">
        <v>763060</v>
      </c>
      <c r="G37" s="2">
        <v>712171</v>
      </c>
      <c r="H37" s="2">
        <v>804566</v>
      </c>
      <c r="I37" s="2">
        <v>786916</v>
      </c>
      <c r="J37" s="2">
        <v>1139844</v>
      </c>
      <c r="K37" s="2">
        <v>1094040</v>
      </c>
      <c r="L37" s="2">
        <v>1221074</v>
      </c>
      <c r="M37" s="2">
        <v>423307</v>
      </c>
      <c r="N37" s="2">
        <f>'GF42000'!N45</f>
        <v>294560</v>
      </c>
      <c r="O37" s="2">
        <f>'GF42000'!O45</f>
        <v>466902.27272727276</v>
      </c>
      <c r="P37" s="2">
        <f>'GF42000'!P45</f>
        <v>514060.56</v>
      </c>
      <c r="Q37" s="2">
        <f>'GF42000'!Q45</f>
        <v>538891.1795000001</v>
      </c>
      <c r="R37" s="2">
        <f>'GF42000'!R45</f>
        <v>538891.1795000001</v>
      </c>
      <c r="S37" s="2">
        <f>'GF42000'!S45</f>
        <v>538891.1795000001</v>
      </c>
      <c r="T37" s="66">
        <f>'GF42000'!R47</f>
        <v>0</v>
      </c>
      <c r="U37" s="66">
        <f>S37-R37</f>
        <v>0</v>
      </c>
      <c r="V37" s="66">
        <f>'GF42000'!R48</f>
        <v>-24830.619500000088</v>
      </c>
      <c r="W37" s="95">
        <f t="shared" si="1"/>
        <v>0.04830290715164005</v>
      </c>
      <c r="X37" s="66">
        <f>'GF42000'!R49</f>
        <v>0</v>
      </c>
      <c r="Y37" s="74">
        <f t="shared" si="2"/>
        <v>0.04830290715164005</v>
      </c>
      <c r="Z37" s="81" t="e">
        <f t="shared" si="3"/>
        <v>#REF!</v>
      </c>
      <c r="AA37" s="81" t="e">
        <f t="shared" si="4"/>
        <v>#REF!</v>
      </c>
    </row>
    <row r="38" spans="1:27" ht="12.75" customHeight="1" hidden="1">
      <c r="A38" t="s">
        <v>310</v>
      </c>
      <c r="B38" s="11">
        <v>44100</v>
      </c>
      <c r="C38" s="2">
        <v>0</v>
      </c>
      <c r="D38" s="2">
        <v>0</v>
      </c>
      <c r="E38" s="2">
        <v>0</v>
      </c>
      <c r="F38" s="2">
        <v>114490</v>
      </c>
      <c r="G38" s="2">
        <v>165782</v>
      </c>
      <c r="H38" s="2">
        <v>153192</v>
      </c>
      <c r="I38" s="2">
        <v>48340</v>
      </c>
      <c r="J38" s="2">
        <v>0</v>
      </c>
      <c r="K38" s="2">
        <v>0</v>
      </c>
      <c r="L38" s="2">
        <v>0</v>
      </c>
      <c r="M38" s="2">
        <v>0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66" t="e">
        <f>#REF!</f>
        <v>#REF!</v>
      </c>
      <c r="U38" s="66" t="e">
        <f t="shared" si="5"/>
        <v>#REF!</v>
      </c>
      <c r="V38" s="66" t="e">
        <f>#REF!</f>
        <v>#REF!</v>
      </c>
      <c r="W38" s="95"/>
      <c r="X38" s="66" t="e">
        <f>#REF!</f>
        <v>#REF!</v>
      </c>
      <c r="Y38" s="74"/>
      <c r="Z38" s="81" t="e">
        <f t="shared" si="3"/>
        <v>#REF!</v>
      </c>
      <c r="AA38" s="81"/>
    </row>
    <row r="39" spans="1:27" ht="12.75" hidden="1">
      <c r="A39" t="s">
        <v>311</v>
      </c>
      <c r="B39" s="11">
        <v>45410</v>
      </c>
      <c r="C39" s="2">
        <v>10079</v>
      </c>
      <c r="D39" s="2">
        <v>12671</v>
      </c>
      <c r="E39" s="2">
        <v>12842</v>
      </c>
      <c r="F39" s="2">
        <v>13452</v>
      </c>
      <c r="G39" s="2">
        <v>13515</v>
      </c>
      <c r="H39" s="2">
        <v>0</v>
      </c>
      <c r="I39" s="2"/>
      <c r="J39" s="2">
        <v>0</v>
      </c>
      <c r="K39" s="2">
        <v>0</v>
      </c>
      <c r="L39" s="2">
        <v>0</v>
      </c>
      <c r="M39" s="2">
        <v>0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66" t="e">
        <f>#REF!</f>
        <v>#REF!</v>
      </c>
      <c r="U39" s="66" t="e">
        <f t="shared" si="5"/>
        <v>#REF!</v>
      </c>
      <c r="V39" s="66" t="e">
        <f>#REF!</f>
        <v>#REF!</v>
      </c>
      <c r="W39" s="95"/>
      <c r="X39" s="66" t="e">
        <f>#REF!</f>
        <v>#REF!</v>
      </c>
      <c r="Y39" s="74"/>
      <c r="Z39" s="81" t="e">
        <f t="shared" si="3"/>
        <v>#REF!</v>
      </c>
      <c r="AA39" s="81" t="e">
        <f aca="true" t="shared" si="6" ref="AA39:AA53">S39/S$55</f>
        <v>#REF!</v>
      </c>
    </row>
    <row r="40" spans="1:27" ht="12.75">
      <c r="A40" t="s">
        <v>312</v>
      </c>
      <c r="B40" s="11">
        <v>49000</v>
      </c>
      <c r="C40" s="2">
        <v>196321</v>
      </c>
      <c r="D40" s="2">
        <v>210643</v>
      </c>
      <c r="E40" s="2">
        <v>234035</v>
      </c>
      <c r="F40" s="2">
        <v>268760</v>
      </c>
      <c r="G40" s="2">
        <v>229379</v>
      </c>
      <c r="H40" s="2">
        <v>271423</v>
      </c>
      <c r="I40" s="2">
        <v>289845</v>
      </c>
      <c r="J40" s="2">
        <v>310406</v>
      </c>
      <c r="K40" s="2">
        <v>310946</v>
      </c>
      <c r="L40" s="2">
        <v>344259</v>
      </c>
      <c r="M40" s="2">
        <v>308098</v>
      </c>
      <c r="N40" s="2">
        <f>'GF49000'!N46</f>
        <v>234646</v>
      </c>
      <c r="O40" s="2">
        <f>'GF49000'!O46</f>
        <v>288802.5999999999</v>
      </c>
      <c r="P40" s="2">
        <f>'GF49000'!P46</f>
        <v>336867.0855</v>
      </c>
      <c r="Q40" s="2">
        <f>'GF49000'!Q46</f>
        <v>376067.3968</v>
      </c>
      <c r="R40" s="2">
        <f>'GF49000'!R46</f>
        <v>376067.3968</v>
      </c>
      <c r="S40" s="2">
        <f>'GF49000'!S46</f>
        <v>376067.3968</v>
      </c>
      <c r="T40" s="66">
        <f>'GF49000'!R48</f>
        <v>0</v>
      </c>
      <c r="U40" s="66">
        <f t="shared" si="5"/>
        <v>0</v>
      </c>
      <c r="V40" s="66">
        <f>'GF49000'!R49</f>
        <v>-39200.3113</v>
      </c>
      <c r="W40" s="95">
        <f t="shared" si="1"/>
        <v>0.11636729436423376</v>
      </c>
      <c r="X40" s="66">
        <f>'GF49000'!R50</f>
        <v>0</v>
      </c>
      <c r="Y40" s="74">
        <f t="shared" si="2"/>
        <v>0.11636729436423376</v>
      </c>
      <c r="Z40" s="81" t="e">
        <f t="shared" si="3"/>
        <v>#REF!</v>
      </c>
      <c r="AA40" s="81" t="e">
        <f t="shared" si="6"/>
        <v>#REF!</v>
      </c>
    </row>
    <row r="41" spans="1:27" ht="12.75">
      <c r="A41" t="s">
        <v>245</v>
      </c>
      <c r="B41" s="11">
        <v>51000</v>
      </c>
      <c r="C41" s="2">
        <v>107849</v>
      </c>
      <c r="D41" s="2">
        <v>104403</v>
      </c>
      <c r="E41" s="2">
        <v>106572</v>
      </c>
      <c r="F41" s="2">
        <v>102192</v>
      </c>
      <c r="G41" s="2">
        <v>101431</v>
      </c>
      <c r="H41" s="2">
        <v>70366</v>
      </c>
      <c r="I41" s="2">
        <v>76746</v>
      </c>
      <c r="J41" s="2">
        <v>77018</v>
      </c>
      <c r="K41" s="2">
        <v>81652</v>
      </c>
      <c r="L41" s="2">
        <v>85599</v>
      </c>
      <c r="M41" s="2">
        <v>79199</v>
      </c>
      <c r="N41" s="2">
        <f>'GF51000'!N26</f>
        <v>18808</v>
      </c>
      <c r="O41" s="2">
        <f>'GF51000'!O26</f>
        <v>74260</v>
      </c>
      <c r="P41" s="2">
        <f>'GF51000'!P26</f>
        <v>76188</v>
      </c>
      <c r="Q41" s="2">
        <f>'GF51000'!Q26</f>
        <v>76138</v>
      </c>
      <c r="R41" s="2">
        <f>'GF51000'!R26</f>
        <v>76138</v>
      </c>
      <c r="S41" s="2">
        <f>'GF51000'!S26</f>
        <v>76138</v>
      </c>
      <c r="T41" s="66">
        <f>'GF51000'!R28</f>
        <v>0</v>
      </c>
      <c r="U41" s="66">
        <f t="shared" si="5"/>
        <v>0</v>
      </c>
      <c r="V41" s="66">
        <f>'GF51000'!R29</f>
        <v>50</v>
      </c>
      <c r="W41" s="95">
        <f t="shared" si="1"/>
        <v>-0.0006562713288181866</v>
      </c>
      <c r="X41" s="66">
        <f>'GF51000'!R30</f>
        <v>0</v>
      </c>
      <c r="Y41" s="74">
        <f t="shared" si="2"/>
        <v>-0.0006562713288181866</v>
      </c>
      <c r="Z41" s="81" t="e">
        <f t="shared" si="3"/>
        <v>#REF!</v>
      </c>
      <c r="AA41" s="81" t="e">
        <f t="shared" si="6"/>
        <v>#REF!</v>
      </c>
    </row>
    <row r="42" spans="1:27" ht="12.75">
      <c r="A42" t="s">
        <v>251</v>
      </c>
      <c r="B42" s="11">
        <v>54000</v>
      </c>
      <c r="C42" s="2">
        <v>5720</v>
      </c>
      <c r="D42" s="2">
        <v>1037</v>
      </c>
      <c r="E42" s="2">
        <v>60610</v>
      </c>
      <c r="F42" s="2">
        <v>66150</v>
      </c>
      <c r="G42" s="2">
        <v>61359</v>
      </c>
      <c r="H42" s="2">
        <v>75255</v>
      </c>
      <c r="I42" s="2">
        <v>106160</v>
      </c>
      <c r="J42" s="2">
        <v>107047</v>
      </c>
      <c r="K42" s="2">
        <v>146685</v>
      </c>
      <c r="L42" s="2">
        <v>134451</v>
      </c>
      <c r="M42" s="2">
        <v>58188</v>
      </c>
      <c r="N42" s="2">
        <f>'GF54000'!N23</f>
        <v>20013</v>
      </c>
      <c r="O42" s="2">
        <f>'GF54000'!O23</f>
        <v>40015.6</v>
      </c>
      <c r="P42" s="2">
        <f>'GF54000'!P23</f>
        <v>40000</v>
      </c>
      <c r="Q42" s="2">
        <f>'GF54000'!Q23</f>
        <v>34000</v>
      </c>
      <c r="R42" s="2">
        <f>'GF54000'!R23</f>
        <v>34000</v>
      </c>
      <c r="S42" s="2">
        <f>'GF54000'!S23</f>
        <v>34000</v>
      </c>
      <c r="T42" s="66">
        <f>'GF54000'!R25</f>
        <v>0</v>
      </c>
      <c r="U42" s="66">
        <f t="shared" si="5"/>
        <v>0</v>
      </c>
      <c r="V42" s="66">
        <f>'GF54000'!R26</f>
        <v>6000</v>
      </c>
      <c r="W42" s="95">
        <f t="shared" si="1"/>
        <v>-0.15</v>
      </c>
      <c r="X42" s="66">
        <f>'GF54000'!R27</f>
        <v>0</v>
      </c>
      <c r="Y42" s="74">
        <f t="shared" si="2"/>
        <v>-0.15</v>
      </c>
      <c r="Z42" s="81" t="e">
        <f t="shared" si="3"/>
        <v>#REF!</v>
      </c>
      <c r="AA42" s="81" t="e">
        <f t="shared" si="6"/>
        <v>#REF!</v>
      </c>
    </row>
    <row r="43" spans="1:27" ht="12.75">
      <c r="A43" t="s">
        <v>253</v>
      </c>
      <c r="B43" s="11">
        <v>55200</v>
      </c>
      <c r="C43" s="2">
        <v>74261</v>
      </c>
      <c r="D43" s="2">
        <v>79456</v>
      </c>
      <c r="E43" s="2">
        <v>86250</v>
      </c>
      <c r="F43" s="2">
        <v>81402</v>
      </c>
      <c r="G43" s="2">
        <v>84981</v>
      </c>
      <c r="H43" s="2">
        <v>85651</v>
      </c>
      <c r="I43" s="2">
        <v>91324</v>
      </c>
      <c r="J43" s="2">
        <v>89406</v>
      </c>
      <c r="K43" s="2">
        <v>96664</v>
      </c>
      <c r="L43" s="2">
        <v>94284</v>
      </c>
      <c r="M43" s="2">
        <v>85310</v>
      </c>
      <c r="N43" s="2">
        <f>'GF55200'!N39</f>
        <v>113232</v>
      </c>
      <c r="O43" s="2">
        <f>'GF55200'!O39</f>
        <v>122550.36363636363</v>
      </c>
      <c r="P43" s="2">
        <f>'GF55200'!P39</f>
        <v>144000</v>
      </c>
      <c r="Q43" s="2">
        <f>'GF55200'!Q39</f>
        <v>121100.203</v>
      </c>
      <c r="R43" s="2">
        <f>'GF55200'!R39</f>
        <v>117741.523</v>
      </c>
      <c r="S43" s="2">
        <f>'GF55200'!S39</f>
        <v>117741.523</v>
      </c>
      <c r="T43" s="66">
        <f>'GF55200'!R41</f>
        <v>3358.679999999993</v>
      </c>
      <c r="U43" s="66">
        <f t="shared" si="5"/>
        <v>0</v>
      </c>
      <c r="V43" s="66">
        <f>'GF55200'!R42</f>
        <v>26258.477</v>
      </c>
      <c r="W43" s="95">
        <f t="shared" si="1"/>
        <v>-0.1823505347222222</v>
      </c>
      <c r="X43" s="66">
        <f>'GF55200'!R43</f>
        <v>0</v>
      </c>
      <c r="Y43" s="74">
        <f t="shared" si="2"/>
        <v>-0.1823505347222222</v>
      </c>
      <c r="Z43" s="81" t="e">
        <f t="shared" si="3"/>
        <v>#REF!</v>
      </c>
      <c r="AA43" s="81" t="e">
        <f t="shared" si="6"/>
        <v>#REF!</v>
      </c>
    </row>
    <row r="44" spans="1:27" ht="12.75">
      <c r="A44" t="s">
        <v>647</v>
      </c>
      <c r="B44" s="11">
        <v>55400</v>
      </c>
      <c r="C44" s="2">
        <v>44907</v>
      </c>
      <c r="D44" s="2">
        <v>48398</v>
      </c>
      <c r="E44" s="2">
        <v>50810</v>
      </c>
      <c r="F44" s="2">
        <v>53571</v>
      </c>
      <c r="G44" s="2">
        <v>60495</v>
      </c>
      <c r="H44" s="2">
        <v>56328</v>
      </c>
      <c r="I44" s="2">
        <v>61999</v>
      </c>
      <c r="J44" s="2">
        <v>60911</v>
      </c>
      <c r="K44" s="2">
        <v>69542</v>
      </c>
      <c r="L44" s="2">
        <v>69973</v>
      </c>
      <c r="M44" s="2">
        <v>76028</v>
      </c>
      <c r="N44" s="2">
        <f>'GF55400'!N39</f>
        <v>40759</v>
      </c>
      <c r="O44" s="2">
        <f>'GF55400'!O39</f>
        <v>42967.454545454544</v>
      </c>
      <c r="P44" s="2">
        <f>'GF55400'!P39</f>
        <v>0</v>
      </c>
      <c r="Q44" s="2">
        <f>'GF55400'!Q39</f>
        <v>42537.971000000005</v>
      </c>
      <c r="R44" s="2">
        <f>'GF55400'!R39</f>
        <v>42537.971000000005</v>
      </c>
      <c r="S44" s="2">
        <f>'GF55400'!S39</f>
        <v>42537.971000000005</v>
      </c>
      <c r="T44" s="66">
        <f>'GF55400'!R41</f>
        <v>0</v>
      </c>
      <c r="U44" s="66">
        <f t="shared" si="5"/>
        <v>0</v>
      </c>
      <c r="V44" s="66">
        <f>'GF55400'!R42</f>
        <v>-42537.971000000005</v>
      </c>
      <c r="W44" s="95" t="e">
        <f t="shared" si="1"/>
        <v>#DIV/0!</v>
      </c>
      <c r="X44" s="66">
        <f>'GF55400'!R43</f>
        <v>0</v>
      </c>
      <c r="Y44" s="74" t="e">
        <f t="shared" si="2"/>
        <v>#DIV/0!</v>
      </c>
      <c r="Z44" s="81" t="e">
        <f t="shared" si="3"/>
        <v>#REF!</v>
      </c>
      <c r="AA44" s="81" t="e">
        <f t="shared" si="6"/>
        <v>#REF!</v>
      </c>
    </row>
    <row r="45" spans="1:27" ht="12.75">
      <c r="A45" t="s">
        <v>260</v>
      </c>
      <c r="B45" s="11">
        <v>61000</v>
      </c>
      <c r="C45" s="2">
        <v>166725</v>
      </c>
      <c r="D45" s="2">
        <v>201685</v>
      </c>
      <c r="E45" s="2">
        <v>189189</v>
      </c>
      <c r="F45" s="2">
        <v>209065</v>
      </c>
      <c r="G45" s="2">
        <v>219984</v>
      </c>
      <c r="H45" s="2">
        <v>213593</v>
      </c>
      <c r="I45" s="2">
        <v>220868</v>
      </c>
      <c r="J45" s="2">
        <v>251537</v>
      </c>
      <c r="K45" s="2">
        <v>271364</v>
      </c>
      <c r="L45" s="2">
        <v>248741</v>
      </c>
      <c r="M45" s="2">
        <v>237681</v>
      </c>
      <c r="N45" s="2">
        <f>'GF61000'!N64</f>
        <v>127622</v>
      </c>
      <c r="O45" s="2">
        <f>'GF61000'!O64</f>
        <v>187904.5</v>
      </c>
      <c r="P45" s="2">
        <f>'GF61000'!P64</f>
        <v>183071.8968</v>
      </c>
      <c r="Q45" s="2">
        <f>'GF61000'!Q64</f>
        <v>255529.252</v>
      </c>
      <c r="R45" s="2">
        <f>'GF61000'!R64</f>
        <v>247689.252</v>
      </c>
      <c r="S45" s="2">
        <f>'GF61000'!S64</f>
        <v>240806.752</v>
      </c>
      <c r="T45" s="66">
        <f>'GF61000'!R66</f>
        <v>7840</v>
      </c>
      <c r="U45" s="66">
        <f t="shared" si="5"/>
        <v>-6882.5</v>
      </c>
      <c r="V45" s="66">
        <f>'GF61000'!R67</f>
        <v>-64617.35520000002</v>
      </c>
      <c r="W45" s="95">
        <f t="shared" si="1"/>
        <v>0.3529616305368396</v>
      </c>
      <c r="X45" s="66">
        <f>'GF61000'!R68</f>
        <v>6882.5</v>
      </c>
      <c r="Y45" s="74">
        <f t="shared" si="2"/>
        <v>0.3153671110048827</v>
      </c>
      <c r="Z45" s="81" t="e">
        <f t="shared" si="3"/>
        <v>#REF!</v>
      </c>
      <c r="AA45" s="81" t="e">
        <f t="shared" si="6"/>
        <v>#REF!</v>
      </c>
    </row>
    <row r="46" spans="1:27" ht="12.75">
      <c r="A46" t="s">
        <v>274</v>
      </c>
      <c r="B46" s="11">
        <v>61900</v>
      </c>
      <c r="C46" s="2">
        <v>15000</v>
      </c>
      <c r="D46" s="2">
        <v>15000</v>
      </c>
      <c r="E46" s="2">
        <v>15000</v>
      </c>
      <c r="F46" s="2">
        <v>15000</v>
      </c>
      <c r="G46" s="2">
        <v>17500</v>
      </c>
      <c r="H46" s="2">
        <v>15000</v>
      </c>
      <c r="I46" s="2">
        <v>15000</v>
      </c>
      <c r="J46" s="2">
        <v>15000</v>
      </c>
      <c r="K46" s="2">
        <v>17500</v>
      </c>
      <c r="L46" s="2">
        <v>15000</v>
      </c>
      <c r="M46" s="2">
        <v>17100</v>
      </c>
      <c r="N46" s="2">
        <f>'GF61900'!N10</f>
        <v>3750</v>
      </c>
      <c r="O46" s="2">
        <f>'GF61900'!O10</f>
        <v>12000</v>
      </c>
      <c r="P46" s="2">
        <f>'GF61900'!P10</f>
        <v>15000</v>
      </c>
      <c r="Q46" s="2">
        <f>'GF61900'!Q10</f>
        <v>18500</v>
      </c>
      <c r="R46" s="2">
        <f>'GF61900'!R10</f>
        <v>15000</v>
      </c>
      <c r="S46" s="2">
        <f>'GF61900'!S10</f>
        <v>15000</v>
      </c>
      <c r="T46" s="66">
        <f>'GF61900'!R12</f>
        <v>3500</v>
      </c>
      <c r="U46" s="66">
        <f t="shared" si="5"/>
        <v>0</v>
      </c>
      <c r="V46" s="66">
        <f>'GF61900'!R13</f>
        <v>0</v>
      </c>
      <c r="W46" s="95">
        <f t="shared" si="1"/>
        <v>0</v>
      </c>
      <c r="X46" s="66">
        <f>'GF61900'!R14</f>
        <v>0</v>
      </c>
      <c r="Y46" s="74">
        <f t="shared" si="2"/>
        <v>0</v>
      </c>
      <c r="Z46" s="81" t="e">
        <f t="shared" si="3"/>
        <v>#REF!</v>
      </c>
      <c r="AA46" s="81" t="e">
        <f t="shared" si="6"/>
        <v>#REF!</v>
      </c>
    </row>
    <row r="47" spans="1:27" ht="12.75">
      <c r="A47" s="30" t="s">
        <v>275</v>
      </c>
      <c r="B47" s="11">
        <v>65100</v>
      </c>
      <c r="C47" s="2">
        <v>80709</v>
      </c>
      <c r="D47" s="2">
        <v>82663</v>
      </c>
      <c r="E47" s="2">
        <v>94419</v>
      </c>
      <c r="F47" s="2">
        <v>95028</v>
      </c>
      <c r="G47" s="2">
        <v>93920</v>
      </c>
      <c r="H47" s="2">
        <v>67500</v>
      </c>
      <c r="I47" s="2">
        <v>127504</v>
      </c>
      <c r="J47" s="2">
        <v>158927</v>
      </c>
      <c r="K47" s="2">
        <v>633532</v>
      </c>
      <c r="L47" s="2">
        <v>101400</v>
      </c>
      <c r="M47" s="2">
        <v>81000</v>
      </c>
      <c r="N47" s="2">
        <f>'GF65100'!N21</f>
        <v>40500</v>
      </c>
      <c r="O47" s="2">
        <f>'GF65100'!O21</f>
        <v>81000</v>
      </c>
      <c r="P47" s="2">
        <f>'GF65100'!P21</f>
        <v>81000</v>
      </c>
      <c r="Q47" s="2">
        <f>'GF65100'!Q21</f>
        <v>90000</v>
      </c>
      <c r="R47" s="2">
        <f>'GF65100'!R21</f>
        <v>81000</v>
      </c>
      <c r="S47" s="2">
        <f>'GF65100'!S21</f>
        <v>77000</v>
      </c>
      <c r="T47" s="66">
        <f>'GF65100'!R23</f>
        <v>9000</v>
      </c>
      <c r="U47" s="66">
        <f t="shared" si="5"/>
        <v>-4000</v>
      </c>
      <c r="V47" s="66">
        <f>'GF65100'!R24</f>
        <v>0</v>
      </c>
      <c r="W47" s="95">
        <f t="shared" si="1"/>
        <v>0</v>
      </c>
      <c r="X47" s="66">
        <f>'GF65100'!R25</f>
        <v>4000</v>
      </c>
      <c r="Y47" s="74">
        <f t="shared" si="2"/>
        <v>-0.04938271604938271</v>
      </c>
      <c r="Z47" s="81" t="e">
        <f t="shared" si="3"/>
        <v>#REF!</v>
      </c>
      <c r="AA47" s="81" t="e">
        <f t="shared" si="6"/>
        <v>#REF!</v>
      </c>
    </row>
    <row r="48" spans="1:27" ht="12.75">
      <c r="A48" t="s">
        <v>277</v>
      </c>
      <c r="B48" s="11">
        <v>71300</v>
      </c>
      <c r="C48" s="2">
        <v>64232</v>
      </c>
      <c r="D48" s="2">
        <v>64032</v>
      </c>
      <c r="E48" s="2">
        <v>68384</v>
      </c>
      <c r="F48" s="2">
        <v>68967</v>
      </c>
      <c r="G48" s="2">
        <v>77882</v>
      </c>
      <c r="H48" s="2">
        <v>74961</v>
      </c>
      <c r="I48" s="2">
        <v>72090</v>
      </c>
      <c r="J48" s="2">
        <v>81267</v>
      </c>
      <c r="K48" s="2">
        <v>81298</v>
      </c>
      <c r="L48" s="2">
        <v>76933</v>
      </c>
      <c r="M48" s="2">
        <v>70107</v>
      </c>
      <c r="N48" s="2">
        <f>'GF71300'!N44</f>
        <v>63749</v>
      </c>
      <c r="O48" s="2">
        <f>'GF71300'!O44</f>
        <v>69398.09090909091</v>
      </c>
      <c r="P48" s="2">
        <f>'GF71300'!P44</f>
        <v>68233</v>
      </c>
      <c r="Q48" s="2">
        <f>'GF71300'!Q44</f>
        <v>73151.8175</v>
      </c>
      <c r="R48" s="2">
        <f>'GF71300'!R44</f>
        <v>69338.008</v>
      </c>
      <c r="S48" s="2">
        <f>'GF71300'!S44</f>
        <v>71192.8175</v>
      </c>
      <c r="T48" s="66">
        <f>'GF71300'!R46</f>
        <v>3813.809500000003</v>
      </c>
      <c r="U48" s="66">
        <f t="shared" si="5"/>
        <v>1854.809500000003</v>
      </c>
      <c r="V48" s="66">
        <f>'GF71300'!R47</f>
        <v>-1105.0080000000016</v>
      </c>
      <c r="W48" s="95">
        <f t="shared" si="1"/>
        <v>0.016194627233157</v>
      </c>
      <c r="X48" s="66">
        <f>'GF71300'!R48</f>
        <v>-1854.809500000003</v>
      </c>
      <c r="Y48" s="74">
        <f t="shared" si="2"/>
        <v>0.0433780941773043</v>
      </c>
      <c r="Z48" s="81" t="e">
        <f t="shared" si="3"/>
        <v>#REF!</v>
      </c>
      <c r="AA48" s="81" t="e">
        <f t="shared" si="6"/>
        <v>#REF!</v>
      </c>
    </row>
    <row r="49" spans="1:27" ht="12.75">
      <c r="A49" t="s">
        <v>279</v>
      </c>
      <c r="B49" s="11">
        <v>71400</v>
      </c>
      <c r="C49" s="2">
        <v>1878</v>
      </c>
      <c r="D49" s="2">
        <v>1408</v>
      </c>
      <c r="E49" s="2">
        <v>1878</v>
      </c>
      <c r="F49" s="2">
        <v>2340</v>
      </c>
      <c r="G49" s="2">
        <v>2340</v>
      </c>
      <c r="H49" s="2">
        <v>2340</v>
      </c>
      <c r="I49" s="2">
        <v>2340</v>
      </c>
      <c r="J49" s="2">
        <v>2340</v>
      </c>
      <c r="K49" s="2">
        <v>2352</v>
      </c>
      <c r="L49" s="2">
        <v>2352</v>
      </c>
      <c r="M49" s="2">
        <v>0</v>
      </c>
      <c r="N49" s="2">
        <f>'GF71400'!N9</f>
        <v>0</v>
      </c>
      <c r="O49" s="2">
        <f>'GF71400'!O9</f>
        <v>0</v>
      </c>
      <c r="P49" s="2">
        <f>'GF71400'!P9</f>
        <v>0</v>
      </c>
      <c r="Q49" s="2">
        <f>'GF71400'!Q9</f>
        <v>0</v>
      </c>
      <c r="R49" s="2">
        <f>'GF71400'!R9</f>
        <v>0</v>
      </c>
      <c r="S49" s="2">
        <f>'GF71400'!S9</f>
        <v>0</v>
      </c>
      <c r="T49" s="66">
        <f>'GF71400'!R11</f>
        <v>0</v>
      </c>
      <c r="U49" s="66">
        <f t="shared" si="5"/>
        <v>0</v>
      </c>
      <c r="V49" s="66">
        <f>'GF71400'!R12</f>
        <v>0</v>
      </c>
      <c r="W49" s="95" t="e">
        <f t="shared" si="1"/>
        <v>#DIV/0!</v>
      </c>
      <c r="X49" s="66">
        <f>'GF71400'!R13</f>
        <v>0</v>
      </c>
      <c r="Y49" s="74" t="e">
        <f t="shared" si="2"/>
        <v>#DIV/0!</v>
      </c>
      <c r="Z49" s="81" t="e">
        <f t="shared" si="3"/>
        <v>#REF!</v>
      </c>
      <c r="AA49" s="81" t="e">
        <f t="shared" si="6"/>
        <v>#REF!</v>
      </c>
    </row>
    <row r="50" spans="1:27" ht="12.75">
      <c r="A50" t="s">
        <v>280</v>
      </c>
      <c r="B50" s="11">
        <v>75000</v>
      </c>
      <c r="C50" s="2">
        <v>107818</v>
      </c>
      <c r="D50" s="2">
        <v>208966</v>
      </c>
      <c r="E50" s="2">
        <v>0</v>
      </c>
      <c r="F50" s="2">
        <v>160494</v>
      </c>
      <c r="G50" s="2">
        <v>194340</v>
      </c>
      <c r="H50" s="2">
        <v>71921</v>
      </c>
      <c r="I50" s="2">
        <v>63927</v>
      </c>
      <c r="J50" s="2">
        <v>96453</v>
      </c>
      <c r="K50" s="2">
        <v>150372</v>
      </c>
      <c r="L50" s="2">
        <v>157160</v>
      </c>
      <c r="M50" s="2">
        <v>91927</v>
      </c>
      <c r="N50" s="2">
        <f>'GF75000'!N41</f>
        <v>93891</v>
      </c>
      <c r="O50" s="2">
        <f>'GF75000'!O41</f>
        <v>203886</v>
      </c>
      <c r="P50" s="2">
        <f>'GF75000'!P41</f>
        <v>215565.8755</v>
      </c>
      <c r="Q50" s="2">
        <f>'GF75000'!Q41</f>
        <v>233377.7235</v>
      </c>
      <c r="R50" s="2">
        <f>'GF75000'!R41</f>
        <v>226277.7235</v>
      </c>
      <c r="S50" s="2">
        <f>'GF75000'!S41</f>
        <v>218777.7235</v>
      </c>
      <c r="T50" s="66">
        <f>'GF75000'!R43</f>
        <v>7100</v>
      </c>
      <c r="U50" s="66">
        <f t="shared" si="5"/>
        <v>-7500</v>
      </c>
      <c r="V50" s="66">
        <f>'GF75000'!R44</f>
        <v>-10711.847999999998</v>
      </c>
      <c r="W50" s="95">
        <f t="shared" si="1"/>
        <v>0.049691761161891314</v>
      </c>
      <c r="X50" s="66">
        <f>'GF75000'!R45</f>
        <v>7500</v>
      </c>
      <c r="Y50" s="74">
        <f t="shared" si="2"/>
        <v>0.014899612438889931</v>
      </c>
      <c r="Z50" s="81" t="e">
        <f t="shared" si="3"/>
        <v>#REF!</v>
      </c>
      <c r="AA50" s="81" t="e">
        <f t="shared" si="6"/>
        <v>#REF!</v>
      </c>
    </row>
    <row r="51" spans="1:27" ht="12.75">
      <c r="A51" t="s">
        <v>284</v>
      </c>
      <c r="B51" s="11">
        <v>75630</v>
      </c>
      <c r="C51" s="2">
        <v>10000</v>
      </c>
      <c r="D51" s="2">
        <v>34910</v>
      </c>
      <c r="E51" s="2">
        <v>10000</v>
      </c>
      <c r="F51" s="2">
        <v>23363</v>
      </c>
      <c r="G51" s="2">
        <v>12850</v>
      </c>
      <c r="H51" s="2">
        <v>12440</v>
      </c>
      <c r="I51" s="2"/>
      <c r="J51" s="2">
        <v>7250</v>
      </c>
      <c r="K51" s="2">
        <v>7250</v>
      </c>
      <c r="L51" s="2">
        <v>13250</v>
      </c>
      <c r="M51" s="2">
        <v>6199</v>
      </c>
      <c r="N51" s="2">
        <f>'GF75630'!N18</f>
        <v>1750</v>
      </c>
      <c r="O51" s="2">
        <f>'GF75630'!O18</f>
        <v>3500</v>
      </c>
      <c r="P51" s="2">
        <f>'GF75630'!P18</f>
        <v>3500</v>
      </c>
      <c r="Q51" s="2">
        <f>'GF75630'!Q18</f>
        <v>3500</v>
      </c>
      <c r="R51" s="2">
        <f>'GF75630'!R18</f>
        <v>3500</v>
      </c>
      <c r="S51" s="2">
        <f>'GF75630'!S18</f>
        <v>3500</v>
      </c>
      <c r="T51" s="66">
        <f>'GF75630'!R20</f>
        <v>0</v>
      </c>
      <c r="U51" s="66">
        <f t="shared" si="5"/>
        <v>0</v>
      </c>
      <c r="V51" s="66">
        <f>'GF75630'!R21</f>
        <v>0</v>
      </c>
      <c r="W51" s="95">
        <f t="shared" si="1"/>
        <v>0</v>
      </c>
      <c r="X51" s="66">
        <f>'GF75630'!R22</f>
        <v>0</v>
      </c>
      <c r="Y51" s="74"/>
      <c r="Z51" s="81" t="e">
        <f t="shared" si="3"/>
        <v>#REF!</v>
      </c>
      <c r="AA51" s="81" t="e">
        <f t="shared" si="6"/>
        <v>#REF!</v>
      </c>
    </row>
    <row r="52" spans="1:27" ht="12.75">
      <c r="A52" t="s">
        <v>286</v>
      </c>
      <c r="B52" s="11">
        <v>76300</v>
      </c>
      <c r="C52" s="2">
        <v>4500</v>
      </c>
      <c r="D52" s="2">
        <v>4500</v>
      </c>
      <c r="E52" s="2">
        <v>4500</v>
      </c>
      <c r="F52" s="2">
        <v>4500</v>
      </c>
      <c r="G52" s="2">
        <v>5500</v>
      </c>
      <c r="H52" s="2">
        <v>1125</v>
      </c>
      <c r="I52" s="2">
        <v>4625</v>
      </c>
      <c r="J52" s="2">
        <v>4600</v>
      </c>
      <c r="K52" s="2">
        <v>100</v>
      </c>
      <c r="L52" s="2">
        <v>100</v>
      </c>
      <c r="M52" s="2">
        <v>855</v>
      </c>
      <c r="N52" s="2">
        <f>'GF76300'!N11</f>
        <v>0</v>
      </c>
      <c r="O52" s="2">
        <f>'GF76300'!O11</f>
        <v>100</v>
      </c>
      <c r="P52" s="2">
        <f>'GF76300'!P11</f>
        <v>100</v>
      </c>
      <c r="Q52" s="2">
        <f>'GF76300'!Q11</f>
        <v>7500</v>
      </c>
      <c r="R52" s="2">
        <f>'GF76300'!R11</f>
        <v>100</v>
      </c>
      <c r="S52" s="2">
        <f>'GF76300'!S11</f>
        <v>100</v>
      </c>
      <c r="T52" s="66">
        <f>'GF76300'!R13</f>
        <v>7400</v>
      </c>
      <c r="U52" s="66">
        <f t="shared" si="5"/>
        <v>0</v>
      </c>
      <c r="V52" s="66">
        <f>'GF76300'!R14</f>
        <v>0</v>
      </c>
      <c r="W52" s="95">
        <f t="shared" si="1"/>
        <v>0</v>
      </c>
      <c r="X52" s="66">
        <f>'GF76300'!R15</f>
        <v>0</v>
      </c>
      <c r="Y52" s="74">
        <f t="shared" si="2"/>
        <v>0</v>
      </c>
      <c r="Z52" s="81" t="e">
        <f t="shared" si="3"/>
        <v>#REF!</v>
      </c>
      <c r="AA52" s="81" t="e">
        <f t="shared" si="6"/>
        <v>#REF!</v>
      </c>
    </row>
    <row r="53" spans="1:27" ht="12.75">
      <c r="A53" t="s">
        <v>324</v>
      </c>
      <c r="B53" s="11">
        <v>76400</v>
      </c>
      <c r="C53" s="5"/>
      <c r="D53" s="5"/>
      <c r="E53" s="2">
        <v>0</v>
      </c>
      <c r="F53" s="2">
        <v>0</v>
      </c>
      <c r="G53" s="2">
        <v>25000</v>
      </c>
      <c r="H53" s="2">
        <v>20000</v>
      </c>
      <c r="I53" s="2">
        <v>20000</v>
      </c>
      <c r="J53" s="2">
        <v>20000</v>
      </c>
      <c r="K53" s="2">
        <v>25000</v>
      </c>
      <c r="L53" s="2">
        <v>26884</v>
      </c>
      <c r="M53" s="2">
        <v>22907</v>
      </c>
      <c r="N53" s="2">
        <f>'GF76400'!N10</f>
        <v>7500</v>
      </c>
      <c r="O53" s="2">
        <f>'GF76400'!O10</f>
        <v>15000</v>
      </c>
      <c r="P53" s="2">
        <f>'GF76400'!P10</f>
        <v>15000</v>
      </c>
      <c r="Q53" s="2">
        <f>'GF76400'!Q10</f>
        <v>18200</v>
      </c>
      <c r="R53" s="2">
        <f>'GF76400'!R10</f>
        <v>15000</v>
      </c>
      <c r="S53" s="2">
        <f>'GF76400'!S10</f>
        <v>12750</v>
      </c>
      <c r="T53" s="66">
        <f>'GF76400'!R12</f>
        <v>3200</v>
      </c>
      <c r="U53" s="66">
        <f t="shared" si="5"/>
        <v>-2250</v>
      </c>
      <c r="V53" s="66">
        <f>'GF76400'!R13</f>
        <v>0</v>
      </c>
      <c r="W53" s="95">
        <f t="shared" si="1"/>
        <v>0</v>
      </c>
      <c r="X53" s="66">
        <f>'GF76400'!R14</f>
        <v>2250</v>
      </c>
      <c r="Y53" s="74">
        <f t="shared" si="2"/>
        <v>-0.15</v>
      </c>
      <c r="Z53" s="81" t="e">
        <f t="shared" si="3"/>
        <v>#REF!</v>
      </c>
      <c r="AA53" s="81" t="e">
        <f t="shared" si="6"/>
        <v>#REF!</v>
      </c>
    </row>
    <row r="54" spans="1:27" ht="12.75">
      <c r="A54" t="s">
        <v>887</v>
      </c>
      <c r="B54" s="11"/>
      <c r="C54" s="5"/>
      <c r="D54" s="5"/>
      <c r="E54" s="5"/>
      <c r="F54" s="2">
        <v>48009</v>
      </c>
      <c r="G54" s="2">
        <v>73242</v>
      </c>
      <c r="H54" s="5"/>
      <c r="I54" s="2">
        <v>24046</v>
      </c>
      <c r="J54" s="2">
        <v>31106</v>
      </c>
      <c r="K54" s="2">
        <v>-14894</v>
      </c>
      <c r="L54" s="2"/>
      <c r="M54" s="5"/>
      <c r="N54" s="5"/>
      <c r="Q54" s="5"/>
      <c r="U54" s="66">
        <f t="shared" si="5"/>
        <v>0</v>
      </c>
      <c r="W54" s="95"/>
      <c r="Y54" s="74"/>
      <c r="Z54" s="60"/>
      <c r="AA54" s="60"/>
    </row>
    <row r="55" spans="1:27" ht="12.75">
      <c r="A55" s="6" t="s">
        <v>91</v>
      </c>
      <c r="B55" s="6"/>
      <c r="C55" s="8">
        <v>5451745</v>
      </c>
      <c r="D55" s="8">
        <v>6119930</v>
      </c>
      <c r="E55" s="8">
        <v>6196873</v>
      </c>
      <c r="F55" s="8">
        <v>7178338</v>
      </c>
      <c r="G55" s="8">
        <v>7201839</v>
      </c>
      <c r="H55" s="8">
        <v>7202005</v>
      </c>
      <c r="I55" s="8">
        <v>7801238</v>
      </c>
      <c r="J55" s="8">
        <v>8946008</v>
      </c>
      <c r="K55" s="8">
        <v>10049086.96</v>
      </c>
      <c r="L55" s="8">
        <v>9872166</v>
      </c>
      <c r="M55" s="8">
        <v>9529940</v>
      </c>
      <c r="N55" s="8" t="e">
        <f aca="true" t="shared" si="7" ref="N55:V55">SUM(N7:N54)</f>
        <v>#REF!</v>
      </c>
      <c r="O55" s="8" t="e">
        <f>SUM(O7:O54)</f>
        <v>#REF!</v>
      </c>
      <c r="P55" s="8" t="e">
        <f t="shared" si="7"/>
        <v>#REF!</v>
      </c>
      <c r="Q55" s="8" t="e">
        <f t="shared" si="7"/>
        <v>#REF!</v>
      </c>
      <c r="R55" s="8" t="e">
        <f>SUM(R7:R54)</f>
        <v>#REF!</v>
      </c>
      <c r="S55" s="8" t="e">
        <f t="shared" si="7"/>
        <v>#REF!</v>
      </c>
      <c r="T55" s="8" t="e">
        <f>SUM(T7:T54)</f>
        <v>#REF!</v>
      </c>
      <c r="U55" s="8" t="e">
        <f>SUM(U7:U54)</f>
        <v>#REF!</v>
      </c>
      <c r="V55" s="8" t="e">
        <f t="shared" si="7"/>
        <v>#REF!</v>
      </c>
      <c r="W55" s="96" t="e">
        <f>(R55-P55)/P55</f>
        <v>#REF!</v>
      </c>
      <c r="X55" s="8" t="e">
        <f>SUM(X7:X54)</f>
        <v>#REF!</v>
      </c>
      <c r="Y55" s="92" t="e">
        <f t="shared" si="2"/>
        <v>#REF!</v>
      </c>
      <c r="Z55" s="71" t="e">
        <f>SUM(Z7:Z54)</f>
        <v>#REF!</v>
      </c>
      <c r="AA55" s="71" t="e">
        <f>SUM(AA7:AA54)</f>
        <v>#REF!</v>
      </c>
    </row>
    <row r="56" spans="1:19" ht="12.75">
      <c r="A56" t="s">
        <v>85</v>
      </c>
      <c r="K56" s="18"/>
      <c r="L56" s="18"/>
      <c r="M56" s="18"/>
      <c r="P56" s="2"/>
      <c r="Q56" s="2"/>
      <c r="R56" s="36" t="s">
        <v>31</v>
      </c>
      <c r="S56" s="2">
        <f>'GF Rev'!R176</f>
        <v>8570649</v>
      </c>
    </row>
    <row r="57" spans="12:19" ht="12.75">
      <c r="L57" s="150" t="s">
        <v>877</v>
      </c>
      <c r="M57" s="150"/>
      <c r="N57" s="146" t="e">
        <f>Q55-R55</f>
        <v>#REF!</v>
      </c>
      <c r="P57" s="2"/>
      <c r="Q57" s="2"/>
      <c r="R57" s="36" t="s">
        <v>53</v>
      </c>
      <c r="S57" s="2" t="e">
        <f>S55-S56</f>
        <v>#REF!</v>
      </c>
    </row>
    <row r="58" spans="3:19" ht="12.75" customHeight="1">
      <c r="C58" s="2"/>
      <c r="D58" s="2"/>
      <c r="E58" s="2"/>
      <c r="F58" s="2"/>
      <c r="G58" s="42" t="s">
        <v>574</v>
      </c>
      <c r="H58" s="20"/>
      <c r="I58" s="28"/>
      <c r="L58" s="150" t="s">
        <v>878</v>
      </c>
      <c r="M58" s="150"/>
      <c r="N58" s="146" t="e">
        <f>R55-S55</f>
        <v>#REF!</v>
      </c>
      <c r="P58" s="2"/>
      <c r="Q58" s="2"/>
      <c r="R58" s="126" t="s">
        <v>954</v>
      </c>
      <c r="S58" s="2"/>
    </row>
    <row r="59" spans="3:19" ht="12.75" customHeight="1">
      <c r="C59" s="2"/>
      <c r="D59" s="2"/>
      <c r="E59" s="2"/>
      <c r="F59" s="2"/>
      <c r="G59" s="42"/>
      <c r="H59" s="20"/>
      <c r="I59" s="28"/>
      <c r="L59" s="150" t="s">
        <v>879</v>
      </c>
      <c r="M59" s="150"/>
      <c r="N59" s="146" t="e">
        <f>SUM(N57:N58)</f>
        <v>#REF!</v>
      </c>
      <c r="P59" s="2"/>
      <c r="Q59" s="2"/>
      <c r="R59" s="126" t="s">
        <v>54</v>
      </c>
      <c r="S59" s="2"/>
    </row>
    <row r="60" spans="1:19" ht="14.25" customHeight="1">
      <c r="A60" s="6"/>
      <c r="G60" s="42" t="s">
        <v>536</v>
      </c>
      <c r="H60" s="20"/>
      <c r="I60" s="20"/>
      <c r="J60" s="20"/>
      <c r="K60" s="20"/>
      <c r="L60" s="20"/>
      <c r="M60" s="20"/>
      <c r="N60" s="107"/>
      <c r="P60" s="2"/>
      <c r="Q60" s="2"/>
      <c r="R60" s="98" t="s">
        <v>955</v>
      </c>
      <c r="S60" s="2" t="e">
        <f>S57-S58</f>
        <v>#REF!</v>
      </c>
    </row>
    <row r="62" spans="16:22" ht="12.75">
      <c r="P62" s="2"/>
      <c r="S62" s="66" t="s">
        <v>982</v>
      </c>
      <c r="V62" s="66" t="e">
        <f>R55+U55</f>
        <v>#REF!</v>
      </c>
    </row>
    <row r="65" ht="12.75">
      <c r="R65" s="2"/>
    </row>
  </sheetData>
  <printOptions gridLines="1"/>
  <pageMargins left="0.25" right="0.25" top="1" bottom="0.55" header="0.5" footer="0.25"/>
  <pageSetup fitToHeight="1" fitToWidth="1" horizontalDpi="300" verticalDpi="300" orientation="landscape" scale="67" r:id="rId3"/>
  <headerFooter alignWithMargins="0">
    <oddFooter>&amp;L&amp;F
&amp;A&amp;CPage &amp;P of &amp;N&amp;R&amp;D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U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13671875" style="0" hidden="1" customWidth="1"/>
    <col min="4" max="10" width="11.7109375" style="0" hidden="1" customWidth="1"/>
    <col min="11" max="13" width="11.7109375" style="0" customWidth="1"/>
    <col min="14" max="14" width="10.8515625" style="0" customWidth="1"/>
    <col min="15" max="15" width="7.7109375" style="0" bestFit="1" customWidth="1"/>
    <col min="16" max="16" width="10.00390625" style="0" customWidth="1"/>
    <col min="17" max="17" width="10.421875" style="0" customWidth="1"/>
    <col min="18" max="18" width="9.7109375" style="0" customWidth="1"/>
    <col min="19" max="19" width="9.8515625" style="0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430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58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604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15349.32</v>
      </c>
      <c r="M7" s="2">
        <v>16064</v>
      </c>
      <c r="N7" s="2">
        <v>7728</v>
      </c>
      <c r="O7" s="2">
        <f>+N7/$N$3*12</f>
        <v>15456</v>
      </c>
      <c r="P7" s="2">
        <v>16371.68</v>
      </c>
      <c r="Q7" s="2">
        <v>16275</v>
      </c>
      <c r="R7" s="2">
        <v>16275</v>
      </c>
      <c r="S7" s="2">
        <v>16275</v>
      </c>
      <c r="T7" s="75">
        <f>(S7-P7)/P7</f>
        <v>-0.005905319429649266</v>
      </c>
    </row>
    <row r="8" spans="1:20" ht="12.75">
      <c r="A8" t="s">
        <v>448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2150</v>
      </c>
      <c r="M8" s="2">
        <v>2079</v>
      </c>
      <c r="N8" s="2">
        <v>1146</v>
      </c>
      <c r="O8" s="2">
        <f>+N8/$N$3*12</f>
        <v>2292</v>
      </c>
      <c r="P8" s="28">
        <v>2460</v>
      </c>
      <c r="Q8" s="28">
        <v>2480</v>
      </c>
      <c r="R8" s="28">
        <f>0.5*4960</f>
        <v>2480</v>
      </c>
      <c r="S8" s="28">
        <v>2480</v>
      </c>
      <c r="T8" s="75">
        <f>(S8-P8)/P8</f>
        <v>0.008130081300813009</v>
      </c>
    </row>
    <row r="9" spans="1:20" ht="12.75">
      <c r="A9" t="s">
        <v>113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1187.61</v>
      </c>
      <c r="M9" s="2">
        <v>1229</v>
      </c>
      <c r="N9" s="2">
        <v>591</v>
      </c>
      <c r="O9" s="2">
        <f>+N9/$N$3*12</f>
        <v>1182</v>
      </c>
      <c r="P9" s="2">
        <v>1252.43352</v>
      </c>
      <c r="Q9" s="2">
        <f>Q7*0.0765</f>
        <v>1245.0375</v>
      </c>
      <c r="R9" s="2">
        <f>R7*0.0765</f>
        <v>1245.0375</v>
      </c>
      <c r="S9" s="2">
        <f>S7*0.0765</f>
        <v>1245.0375</v>
      </c>
      <c r="T9" s="75">
        <f>(S9-P9)/P9</f>
        <v>-0.005905319429649355</v>
      </c>
    </row>
    <row r="10" spans="1:20" ht="12.75">
      <c r="A10" t="s">
        <v>208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748</v>
      </c>
      <c r="B11" s="4"/>
      <c r="C11" s="2"/>
      <c r="D11" s="2"/>
      <c r="E11" s="2"/>
      <c r="F11" s="2"/>
      <c r="G11" s="2"/>
      <c r="H11" s="2"/>
      <c r="I11" s="2"/>
      <c r="J11" s="2"/>
      <c r="K11" s="2">
        <v>53</v>
      </c>
      <c r="L11" s="2">
        <v>180</v>
      </c>
      <c r="M11" s="2"/>
      <c r="N11" s="2"/>
      <c r="O11" s="2"/>
      <c r="P11" s="2"/>
      <c r="Q11" s="2"/>
      <c r="R11" s="2"/>
      <c r="S11" s="2"/>
      <c r="T11" s="75"/>
    </row>
    <row r="12" spans="2:20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5"/>
    </row>
    <row r="13" spans="1:20" ht="12.75">
      <c r="A13" t="s">
        <v>30</v>
      </c>
      <c r="B13" s="4">
        <v>52.302</v>
      </c>
      <c r="C13" s="2"/>
      <c r="D13" s="2"/>
      <c r="E13" s="2"/>
      <c r="F13" s="2"/>
      <c r="G13" s="2"/>
      <c r="H13" s="2"/>
      <c r="I13" s="2"/>
      <c r="J13" s="2"/>
      <c r="K13" s="2"/>
      <c r="L13" s="2">
        <v>168</v>
      </c>
      <c r="M13" s="2"/>
      <c r="N13" s="2">
        <v>330</v>
      </c>
      <c r="O13" s="2">
        <v>330</v>
      </c>
      <c r="P13" s="2">
        <v>3300</v>
      </c>
      <c r="Q13" s="2">
        <v>2970</v>
      </c>
      <c r="R13" s="2">
        <v>2970</v>
      </c>
      <c r="S13" s="2">
        <v>2970</v>
      </c>
      <c r="T13" s="75"/>
    </row>
    <row r="14" spans="1:20" ht="12.75">
      <c r="A14" t="s">
        <v>115</v>
      </c>
      <c r="B14" s="4">
        <v>52.32</v>
      </c>
      <c r="C14" s="2">
        <v>120</v>
      </c>
      <c r="D14" s="2">
        <v>120</v>
      </c>
      <c r="E14" s="2">
        <v>130</v>
      </c>
      <c r="F14" s="2">
        <v>1624</v>
      </c>
      <c r="G14" s="2">
        <v>2375</v>
      </c>
      <c r="H14" s="2">
        <v>1574</v>
      </c>
      <c r="I14" s="2">
        <v>1226</v>
      </c>
      <c r="J14" s="2">
        <v>2429</v>
      </c>
      <c r="K14" s="2">
        <v>2589</v>
      </c>
      <c r="L14" s="2">
        <v>2690</v>
      </c>
      <c r="M14" s="2">
        <v>2142</v>
      </c>
      <c r="N14" s="2">
        <v>780</v>
      </c>
      <c r="O14" s="2">
        <f>+N14/$N$3*12</f>
        <v>1560</v>
      </c>
      <c r="P14" s="2">
        <v>2500</v>
      </c>
      <c r="Q14" s="2">
        <v>1500</v>
      </c>
      <c r="R14" s="2">
        <v>1500</v>
      </c>
      <c r="S14" s="2">
        <v>1500</v>
      </c>
      <c r="T14" s="75">
        <f>(S14-P14)/P14</f>
        <v>-0.4</v>
      </c>
    </row>
    <row r="15" spans="1:20" ht="12.75">
      <c r="A15" t="s">
        <v>116</v>
      </c>
      <c r="B15" s="4">
        <v>52.321</v>
      </c>
      <c r="C15" s="2">
        <v>33</v>
      </c>
      <c r="D15" s="2"/>
      <c r="E15" s="2">
        <v>136</v>
      </c>
      <c r="F15" s="2">
        <v>68</v>
      </c>
      <c r="G15" s="2"/>
      <c r="H15" s="2">
        <v>185</v>
      </c>
      <c r="I15" s="2">
        <v>52</v>
      </c>
      <c r="J15" s="2">
        <v>76</v>
      </c>
      <c r="K15" s="2"/>
      <c r="L15" s="2"/>
      <c r="M15" s="2">
        <v>18</v>
      </c>
      <c r="N15" s="2">
        <v>26</v>
      </c>
      <c r="O15" s="2">
        <f>+N15/$N$3*12</f>
        <v>52</v>
      </c>
      <c r="P15" s="2"/>
      <c r="Q15" s="2">
        <v>100</v>
      </c>
      <c r="R15" s="2">
        <v>100</v>
      </c>
      <c r="S15" s="2">
        <v>100</v>
      </c>
      <c r="T15" s="75" t="e">
        <f>(S15-P15)/P15</f>
        <v>#DIV/0!</v>
      </c>
    </row>
    <row r="16" spans="1:20" ht="12.75">
      <c r="A16" t="s">
        <v>128</v>
      </c>
      <c r="B16" s="4">
        <v>52.35</v>
      </c>
      <c r="C16" s="2">
        <v>1077</v>
      </c>
      <c r="D16" s="2">
        <v>1221</v>
      </c>
      <c r="E16" s="2">
        <v>534</v>
      </c>
      <c r="F16" s="2">
        <v>310</v>
      </c>
      <c r="G16" s="2">
        <v>383</v>
      </c>
      <c r="H16" s="2">
        <v>584</v>
      </c>
      <c r="I16" s="2">
        <v>120</v>
      </c>
      <c r="J16" s="2">
        <v>474</v>
      </c>
      <c r="K16" s="2">
        <v>528</v>
      </c>
      <c r="L16" s="2">
        <v>-47.91</v>
      </c>
      <c r="M16" s="2">
        <v>170</v>
      </c>
      <c r="N16" s="2">
        <v>40</v>
      </c>
      <c r="O16" s="2">
        <v>500</v>
      </c>
      <c r="P16" s="2">
        <v>500</v>
      </c>
      <c r="Q16" s="2">
        <v>1500</v>
      </c>
      <c r="R16" s="2">
        <v>1500</v>
      </c>
      <c r="S16" s="2">
        <v>1500</v>
      </c>
      <c r="T16" s="75">
        <f>(S16-P16)/P16</f>
        <v>2</v>
      </c>
    </row>
    <row r="17" spans="1:20" ht="12.75">
      <c r="A17" t="s">
        <v>118</v>
      </c>
      <c r="B17" s="4">
        <v>52.3602</v>
      </c>
      <c r="C17" s="2"/>
      <c r="D17" s="2">
        <v>40</v>
      </c>
      <c r="E17" s="2">
        <v>40</v>
      </c>
      <c r="F17" s="2">
        <v>25</v>
      </c>
      <c r="G17" s="2"/>
      <c r="H17" s="2">
        <v>25</v>
      </c>
      <c r="I17" s="2"/>
      <c r="J17" s="2"/>
      <c r="K17" s="2"/>
      <c r="L17" s="2"/>
      <c r="M17" s="2"/>
      <c r="N17" s="2"/>
      <c r="O17" s="2"/>
      <c r="P17" s="2"/>
      <c r="Q17" s="2">
        <v>100</v>
      </c>
      <c r="R17" s="2">
        <v>100</v>
      </c>
      <c r="S17" s="2">
        <v>100</v>
      </c>
      <c r="T17" s="75" t="e">
        <f>(S17-P17)/P17</f>
        <v>#DIV/0!</v>
      </c>
    </row>
    <row r="18" spans="1:20" ht="12.75">
      <c r="A18" t="s">
        <v>129</v>
      </c>
      <c r="B18" s="4">
        <v>52.37</v>
      </c>
      <c r="C18" s="2"/>
      <c r="D18" s="2"/>
      <c r="E18" s="2">
        <v>125</v>
      </c>
      <c r="F18" s="2">
        <v>405</v>
      </c>
      <c r="G18" s="2"/>
      <c r="H18" s="2">
        <v>225</v>
      </c>
      <c r="I18" s="2"/>
      <c r="J18" s="2"/>
      <c r="K18" s="2">
        <v>345</v>
      </c>
      <c r="L18" s="2"/>
      <c r="M18" s="2"/>
      <c r="N18" s="2"/>
      <c r="O18" s="2"/>
      <c r="P18" s="2"/>
      <c r="Q18" s="2">
        <v>500</v>
      </c>
      <c r="R18" s="2">
        <v>500</v>
      </c>
      <c r="S18" s="2">
        <v>500</v>
      </c>
      <c r="T18" s="75"/>
    </row>
    <row r="19" spans="1:20" ht="12.75">
      <c r="A19" t="s">
        <v>123</v>
      </c>
      <c r="B19" s="4">
        <v>53.171</v>
      </c>
      <c r="C19" s="2">
        <v>278</v>
      </c>
      <c r="D19" s="2">
        <v>1054</v>
      </c>
      <c r="E19" s="2">
        <v>221</v>
      </c>
      <c r="F19" s="2">
        <v>749</v>
      </c>
      <c r="G19" s="2">
        <v>244</v>
      </c>
      <c r="H19" s="2">
        <v>379</v>
      </c>
      <c r="I19" s="2">
        <v>100</v>
      </c>
      <c r="J19" s="2">
        <v>372</v>
      </c>
      <c r="K19" s="2">
        <v>49</v>
      </c>
      <c r="L19" s="2">
        <v>219</v>
      </c>
      <c r="M19" s="2">
        <v>376</v>
      </c>
      <c r="N19" s="2">
        <v>17</v>
      </c>
      <c r="O19" s="2">
        <v>400</v>
      </c>
      <c r="P19" s="2">
        <v>400</v>
      </c>
      <c r="Q19" s="2">
        <v>400</v>
      </c>
      <c r="R19" s="2">
        <v>400</v>
      </c>
      <c r="S19" s="2">
        <v>400</v>
      </c>
      <c r="T19" s="75">
        <f>(S19-P19)/P19</f>
        <v>0</v>
      </c>
    </row>
    <row r="20" spans="1:20" ht="12.75">
      <c r="A20" t="s">
        <v>592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>+N20/$N$3*12</f>
        <v>0</v>
      </c>
      <c r="P20" s="2"/>
      <c r="Q20" s="2"/>
      <c r="R20" s="2"/>
      <c r="S20" s="2"/>
      <c r="T20" s="75"/>
    </row>
    <row r="21" spans="2:20" ht="12.75">
      <c r="B21" s="4"/>
      <c r="C21" s="2"/>
      <c r="D21" s="2"/>
      <c r="E21" s="2"/>
      <c r="F21" s="2"/>
      <c r="G21" s="2"/>
      <c r="H21" s="2">
        <v>45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8"/>
    </row>
    <row r="22" spans="1:20" ht="12.75" hidden="1">
      <c r="A22" t="s">
        <v>339</v>
      </c>
      <c r="B22" s="4">
        <v>54.25</v>
      </c>
      <c r="C22" s="2"/>
      <c r="D22" s="2"/>
      <c r="E22" s="2"/>
      <c r="F22" s="2">
        <v>495</v>
      </c>
      <c r="G22" s="2"/>
      <c r="H22" s="2"/>
      <c r="I22" s="2"/>
      <c r="J22" s="2"/>
      <c r="K22" s="2"/>
      <c r="L22" s="2"/>
      <c r="M22" s="2"/>
      <c r="N22" s="2"/>
      <c r="O22" s="2">
        <f>+N22/$N$3*12</f>
        <v>0</v>
      </c>
      <c r="P22" s="2"/>
      <c r="Q22" s="2"/>
      <c r="R22" s="2"/>
      <c r="S22" s="2"/>
      <c r="T22" s="48"/>
    </row>
    <row r="23" spans="1:20" ht="12.75" hidden="1">
      <c r="A23" t="s">
        <v>571</v>
      </c>
      <c r="B23" s="4">
        <v>54.252</v>
      </c>
      <c r="C23" s="2"/>
      <c r="D23" s="2"/>
      <c r="E23" s="2"/>
      <c r="F23" s="2"/>
      <c r="G23" s="2"/>
      <c r="H23" s="2"/>
      <c r="I23" s="2">
        <v>62901</v>
      </c>
      <c r="J23" s="2"/>
      <c r="K23" s="2"/>
      <c r="L23" s="2"/>
      <c r="M23" s="2"/>
      <c r="N23" s="2"/>
      <c r="O23" s="2">
        <f>+N23/$N$3*12</f>
        <v>0</v>
      </c>
      <c r="P23" s="2"/>
      <c r="Q23" s="2"/>
      <c r="R23" s="2"/>
      <c r="S23" s="2"/>
      <c r="T23" s="48"/>
    </row>
    <row r="24" spans="1:20" ht="12.75" hidden="1">
      <c r="A24" t="s">
        <v>661</v>
      </c>
      <c r="B24" s="4">
        <v>54.2525</v>
      </c>
      <c r="C24" s="2"/>
      <c r="D24" s="2"/>
      <c r="E24" s="2"/>
      <c r="F24" s="2"/>
      <c r="G24" s="2"/>
      <c r="H24" s="2"/>
      <c r="I24" s="2"/>
      <c r="J24" s="2">
        <v>6000</v>
      </c>
      <c r="K24" s="2"/>
      <c r="L24" s="2"/>
      <c r="M24" s="2"/>
      <c r="N24" s="2"/>
      <c r="O24" s="2"/>
      <c r="P24" s="2"/>
      <c r="Q24" s="2"/>
      <c r="R24" s="2"/>
      <c r="S24" s="2"/>
      <c r="T24" s="48"/>
    </row>
    <row r="25" spans="1:20" ht="12.75" hidden="1">
      <c r="A25" t="s">
        <v>524</v>
      </c>
      <c r="B25" s="4">
        <v>54.2615</v>
      </c>
      <c r="C25" s="2"/>
      <c r="D25" s="2"/>
      <c r="E25" s="2"/>
      <c r="F25" s="2"/>
      <c r="G25" s="2"/>
      <c r="H25" s="2">
        <v>16498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8"/>
    </row>
    <row r="26" spans="1:20" ht="12.75">
      <c r="A26" s="6" t="s">
        <v>91</v>
      </c>
      <c r="B26" s="6"/>
      <c r="C26" s="7">
        <f aca="true" t="shared" si="0" ref="C26:I26">SUM(C7:C25)</f>
        <v>25657</v>
      </c>
      <c r="D26" s="8">
        <f t="shared" si="0"/>
        <v>16085</v>
      </c>
      <c r="E26" s="8">
        <f t="shared" si="0"/>
        <v>13612</v>
      </c>
      <c r="F26" s="8">
        <f t="shared" si="0"/>
        <v>16334</v>
      </c>
      <c r="G26" s="8">
        <f t="shared" si="0"/>
        <v>16251</v>
      </c>
      <c r="H26" s="8">
        <f t="shared" si="0"/>
        <v>33752</v>
      </c>
      <c r="I26" s="8">
        <f t="shared" si="0"/>
        <v>78492</v>
      </c>
      <c r="J26" s="8">
        <v>25689</v>
      </c>
      <c r="K26" s="8">
        <f aca="true" t="shared" si="1" ref="K26:S26">SUM(K7:K25)</f>
        <v>20498</v>
      </c>
      <c r="L26" s="8">
        <v>21898</v>
      </c>
      <c r="M26" s="8">
        <v>22078</v>
      </c>
      <c r="N26" s="8">
        <f t="shared" si="1"/>
        <v>10658</v>
      </c>
      <c r="O26" s="8">
        <f t="shared" si="1"/>
        <v>21772</v>
      </c>
      <c r="P26" s="8">
        <f t="shared" si="1"/>
        <v>26784.11352</v>
      </c>
      <c r="Q26" s="8">
        <f>SUM(Q7:Q25)</f>
        <v>27070.0375</v>
      </c>
      <c r="R26" s="8">
        <f t="shared" si="1"/>
        <v>27070.0375</v>
      </c>
      <c r="S26" s="8">
        <f t="shared" si="1"/>
        <v>27070.0375</v>
      </c>
      <c r="T26" s="49">
        <f>(S26-P26)/P26</f>
        <v>0.010675133219790788</v>
      </c>
    </row>
    <row r="27" ht="12.75">
      <c r="T27" s="48"/>
    </row>
    <row r="28" spans="1:20" ht="12.75">
      <c r="A28" t="s">
        <v>304</v>
      </c>
      <c r="B28">
        <v>0.25</v>
      </c>
      <c r="P28" s="20" t="s">
        <v>445</v>
      </c>
      <c r="Q28" s="20"/>
      <c r="R28" s="52">
        <f>Q26-R26</f>
        <v>0</v>
      </c>
      <c r="T28" s="48"/>
    </row>
    <row r="29" spans="16:20" ht="12.75">
      <c r="P29" s="20" t="s">
        <v>668</v>
      </c>
      <c r="Q29" s="20"/>
      <c r="R29" s="52">
        <f>P26-R26</f>
        <v>-285.9239799999996</v>
      </c>
      <c r="T29" s="48"/>
    </row>
    <row r="30" spans="16:20" ht="12.75">
      <c r="P30" s="20" t="s">
        <v>397</v>
      </c>
      <c r="Q30" s="20"/>
      <c r="R30" s="52">
        <f>R26-S26</f>
        <v>0</v>
      </c>
      <c r="T30" s="48"/>
    </row>
    <row r="31" ht="12.75">
      <c r="T31" s="48"/>
    </row>
    <row r="32" spans="1:20" ht="12.75">
      <c r="A32" s="37" t="s">
        <v>99</v>
      </c>
      <c r="B32" s="38">
        <v>33.4215</v>
      </c>
      <c r="C32" s="39">
        <v>1768</v>
      </c>
      <c r="D32" s="39">
        <v>3102</v>
      </c>
      <c r="E32" s="39">
        <v>3100</v>
      </c>
      <c r="F32" s="39"/>
      <c r="G32" s="39"/>
      <c r="H32" s="39"/>
      <c r="I32" s="39">
        <v>6824</v>
      </c>
      <c r="J32" s="39"/>
      <c r="K32" s="39">
        <v>4963</v>
      </c>
      <c r="L32" s="39">
        <v>4963</v>
      </c>
      <c r="M32" s="39">
        <v>6899</v>
      </c>
      <c r="T32" s="48"/>
    </row>
    <row r="33" spans="1:20" ht="12.75">
      <c r="A33" t="s">
        <v>740</v>
      </c>
      <c r="B33">
        <v>38.9045</v>
      </c>
      <c r="K33">
        <v>3300</v>
      </c>
      <c r="L33">
        <v>3000</v>
      </c>
      <c r="T33" s="48"/>
    </row>
    <row r="34" spans="1:20" ht="12.75">
      <c r="A34" t="s">
        <v>930</v>
      </c>
      <c r="K34" s="60">
        <f>(K33+K32)/K26</f>
        <v>0.4031124987803688</v>
      </c>
      <c r="L34" s="60">
        <f>(L33+L32)/L26</f>
        <v>0.3636405151155357</v>
      </c>
      <c r="M34" s="60">
        <f>(M33+M32)/M26</f>
        <v>0.31248301476583024</v>
      </c>
      <c r="N34" s="60">
        <f>(N33+N32)/N26</f>
        <v>0</v>
      </c>
      <c r="T34" s="48"/>
    </row>
    <row r="35" ht="12.75">
      <c r="T35" s="48"/>
    </row>
    <row r="36" spans="1:20" s="2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O36" s="39"/>
      <c r="P36" s="39"/>
      <c r="R36" s="39"/>
      <c r="S36" s="84"/>
      <c r="T36" s="39"/>
    </row>
    <row r="37" ht="12.75">
      <c r="T37" s="48"/>
    </row>
    <row r="38" ht="12.75">
      <c r="T38" s="48"/>
    </row>
    <row r="39" spans="1:20" ht="12.75">
      <c r="A39" s="6"/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2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Y73"/>
  <sheetViews>
    <sheetView tabSelected="1" zoomScale="75" zoomScaleNormal="75" workbookViewId="0" topLeftCell="A4">
      <pane ySplit="780" topLeftCell="BM1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10" width="11.7109375" style="0" hidden="1" customWidth="1"/>
    <col min="11" max="14" width="11.7109375" style="0" customWidth="1"/>
    <col min="15" max="15" width="9.421875" style="0" customWidth="1"/>
    <col min="16" max="16" width="11.7109375" style="0" customWidth="1"/>
    <col min="17" max="17" width="10.421875" style="0" bestFit="1" customWidth="1"/>
    <col min="18" max="19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432</v>
      </c>
      <c r="N3" s="53">
        <v>11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5" ht="12.75">
      <c r="A7" t="s">
        <v>604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633544.8</v>
      </c>
      <c r="M7" s="2">
        <v>98152</v>
      </c>
      <c r="N7" s="2">
        <v>0</v>
      </c>
      <c r="O7" s="2">
        <v>116637</v>
      </c>
      <c r="P7" s="19">
        <v>115636.56</v>
      </c>
      <c r="Q7" s="19">
        <v>150303</v>
      </c>
      <c r="R7" s="19">
        <v>150303</v>
      </c>
      <c r="S7" s="19">
        <v>150303</v>
      </c>
      <c r="T7" s="75">
        <f>(S7-P7)/P7</f>
        <v>0.2997878871526445</v>
      </c>
      <c r="U7" s="30" t="s">
        <v>2</v>
      </c>
      <c r="W7" s="152"/>
      <c r="X7" s="136"/>
      <c r="Y7" s="152"/>
    </row>
    <row r="8" spans="1:24" ht="12.75">
      <c r="A8" t="s">
        <v>126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17174</v>
      </c>
      <c r="M8" s="2">
        <v>11798</v>
      </c>
      <c r="N8" s="2">
        <v>770</v>
      </c>
      <c r="O8" s="2">
        <v>15000</v>
      </c>
      <c r="P8" s="2">
        <v>15000</v>
      </c>
      <c r="Q8" s="2"/>
      <c r="R8" s="2"/>
      <c r="S8" s="2"/>
      <c r="T8" s="75">
        <f>(S8-P8)/P8</f>
        <v>-1</v>
      </c>
      <c r="U8" s="30" t="s">
        <v>531</v>
      </c>
      <c r="X8" s="2"/>
    </row>
    <row r="9" spans="1:24" ht="12.75">
      <c r="A9" t="s">
        <v>448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85701</v>
      </c>
      <c r="M9" s="2">
        <v>87638</v>
      </c>
      <c r="N9" s="2">
        <v>77779</v>
      </c>
      <c r="O9" s="2">
        <f>+N9/$N$3*12</f>
        <v>84849.81818181818</v>
      </c>
      <c r="P9" s="28">
        <v>99630</v>
      </c>
      <c r="Q9" s="28">
        <v>119040</v>
      </c>
      <c r="R9" s="28">
        <f>24*4960</f>
        <v>119040</v>
      </c>
      <c r="S9" s="28">
        <v>119040</v>
      </c>
      <c r="T9" s="75">
        <f>(S9-P9)/P9</f>
        <v>0.19482083709725986</v>
      </c>
      <c r="U9" s="30" t="s">
        <v>1001</v>
      </c>
      <c r="V9" s="6"/>
      <c r="X9" s="2"/>
    </row>
    <row r="10" spans="1:24" ht="12.75">
      <c r="A10" t="s">
        <v>113</v>
      </c>
      <c r="B10" s="4">
        <v>51.22</v>
      </c>
      <c r="C10" s="2">
        <v>26747</v>
      </c>
      <c r="D10" s="2">
        <v>26518</v>
      </c>
      <c r="E10" s="2">
        <v>26334</v>
      </c>
      <c r="F10" s="2">
        <v>26476</v>
      </c>
      <c r="G10" s="2">
        <v>26681</v>
      </c>
      <c r="H10" s="2">
        <v>31531</v>
      </c>
      <c r="I10" s="2">
        <v>30912</v>
      </c>
      <c r="J10" s="2">
        <v>38692</v>
      </c>
      <c r="K10" s="2">
        <v>42220</v>
      </c>
      <c r="L10" s="2">
        <v>47953.82</v>
      </c>
      <c r="M10" s="2">
        <v>7262</v>
      </c>
      <c r="N10" s="2"/>
      <c r="O10" s="2">
        <v>9994</v>
      </c>
      <c r="P10" s="2">
        <v>9994</v>
      </c>
      <c r="Q10" s="19">
        <f>(Q7+Q8)*0.0765</f>
        <v>11498.1795</v>
      </c>
      <c r="R10" s="19">
        <f>(R7+R8)*0.0765</f>
        <v>11498.1795</v>
      </c>
      <c r="S10" s="19">
        <f>(S7+S8)*0.0765</f>
        <v>11498.1795</v>
      </c>
      <c r="T10" s="75">
        <f>(S10-P10)/P10</f>
        <v>0.1505082549529718</v>
      </c>
      <c r="U10" s="30" t="s">
        <v>1001</v>
      </c>
      <c r="V10" s="6"/>
      <c r="W10" s="2"/>
      <c r="X10" s="2"/>
    </row>
    <row r="11" spans="1:24" ht="12.75">
      <c r="A11" t="s">
        <v>127</v>
      </c>
      <c r="B11" s="4">
        <v>51.24</v>
      </c>
      <c r="C11" s="2">
        <v>6241</v>
      </c>
      <c r="D11" s="2">
        <v>6378</v>
      </c>
      <c r="E11" s="2">
        <v>6944</v>
      </c>
      <c r="F11" s="2">
        <v>5695</v>
      </c>
      <c r="G11" s="2">
        <v>5683</v>
      </c>
      <c r="H11" s="2">
        <v>6855</v>
      </c>
      <c r="I11" s="2">
        <v>7806</v>
      </c>
      <c r="J11" s="2">
        <v>8650</v>
      </c>
      <c r="K11" s="2">
        <v>9702</v>
      </c>
      <c r="L11" s="2">
        <v>10972</v>
      </c>
      <c r="M11" s="2">
        <v>3646</v>
      </c>
      <c r="N11" s="2">
        <v>10630</v>
      </c>
      <c r="O11" s="2">
        <v>11400</v>
      </c>
      <c r="P11" s="2">
        <v>11400</v>
      </c>
      <c r="Q11" s="2">
        <v>15000</v>
      </c>
      <c r="R11" s="2">
        <v>15000</v>
      </c>
      <c r="S11" s="2">
        <v>15000</v>
      </c>
      <c r="T11" s="75">
        <f>(S11-P11)/P11</f>
        <v>0.3157894736842105</v>
      </c>
      <c r="V11" s="2"/>
      <c r="X11" s="2"/>
    </row>
    <row r="12" spans="1:24" ht="12.75">
      <c r="A12" t="s">
        <v>653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3180</v>
      </c>
      <c r="N12" s="2"/>
      <c r="O12" s="2"/>
      <c r="P12" s="2"/>
      <c r="Q12" s="2"/>
      <c r="R12" s="2"/>
      <c r="S12" s="2"/>
      <c r="T12" s="75"/>
      <c r="V12" s="2"/>
      <c r="X12" s="2"/>
    </row>
    <row r="13" spans="2:20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5"/>
    </row>
    <row r="14" spans="1:21" ht="12.75">
      <c r="A14" t="s">
        <v>180</v>
      </c>
      <c r="B14" s="4">
        <v>52.121</v>
      </c>
      <c r="C14" s="2"/>
      <c r="D14" s="2"/>
      <c r="E14" s="2"/>
      <c r="F14" s="2"/>
      <c r="G14" s="2"/>
      <c r="H14" s="2"/>
      <c r="I14" s="2">
        <f>645+303</f>
        <v>948</v>
      </c>
      <c r="J14" s="2">
        <v>1364</v>
      </c>
      <c r="K14" s="2">
        <v>980</v>
      </c>
      <c r="L14" s="2">
        <v>215</v>
      </c>
      <c r="M14" s="2">
        <v>35</v>
      </c>
      <c r="N14" s="11">
        <v>0</v>
      </c>
      <c r="O14" s="2">
        <v>500</v>
      </c>
      <c r="P14" s="2">
        <v>500</v>
      </c>
      <c r="Q14" s="2">
        <v>500</v>
      </c>
      <c r="R14" s="2">
        <v>500</v>
      </c>
      <c r="S14" s="2">
        <v>500</v>
      </c>
      <c r="T14" s="75"/>
      <c r="U14" s="2"/>
    </row>
    <row r="15" spans="1:20" ht="12.75">
      <c r="A15" s="30" t="s">
        <v>320</v>
      </c>
      <c r="B15" s="4">
        <v>52.1221</v>
      </c>
      <c r="C15" s="2"/>
      <c r="D15" s="2"/>
      <c r="E15" s="2"/>
      <c r="F15" s="2"/>
      <c r="G15" s="2">
        <v>1806</v>
      </c>
      <c r="H15" s="2"/>
      <c r="I15" s="2"/>
      <c r="J15" s="2">
        <v>850</v>
      </c>
      <c r="K15" s="2">
        <v>375</v>
      </c>
      <c r="L15" s="2">
        <v>789</v>
      </c>
      <c r="M15" s="2"/>
      <c r="N15" s="11">
        <v>0</v>
      </c>
      <c r="O15" s="2">
        <v>1000</v>
      </c>
      <c r="P15" s="2">
        <v>1000</v>
      </c>
      <c r="Q15" s="2">
        <v>1000</v>
      </c>
      <c r="R15" s="2">
        <v>1000</v>
      </c>
      <c r="S15" s="2">
        <v>1000</v>
      </c>
      <c r="T15" s="75">
        <f>(S15-P15)/P15</f>
        <v>0</v>
      </c>
    </row>
    <row r="16" spans="1:20" ht="12.75">
      <c r="A16" t="s">
        <v>229</v>
      </c>
      <c r="B16" s="4">
        <v>52.215</v>
      </c>
      <c r="C16" s="2">
        <v>134875</v>
      </c>
      <c r="D16" s="2">
        <v>151086</v>
      </c>
      <c r="E16" s="2">
        <v>199256</v>
      </c>
      <c r="F16" s="2">
        <v>162000</v>
      </c>
      <c r="G16" s="2">
        <v>71855</v>
      </c>
      <c r="H16" s="2">
        <v>145267</v>
      </c>
      <c r="I16" s="2">
        <f>103139+6632</f>
        <v>109771</v>
      </c>
      <c r="J16" s="2">
        <v>133670</v>
      </c>
      <c r="K16" s="2">
        <v>120261</v>
      </c>
      <c r="L16" s="2">
        <v>38915</v>
      </c>
      <c r="M16" s="2"/>
      <c r="N16" s="11"/>
      <c r="O16" s="2"/>
      <c r="P16" s="2"/>
      <c r="Q16" s="2"/>
      <c r="R16" s="2"/>
      <c r="S16" s="2"/>
      <c r="T16" s="75"/>
    </row>
    <row r="17" spans="1:20" ht="12.75">
      <c r="A17" t="s">
        <v>159</v>
      </c>
      <c r="B17" s="4">
        <v>52.2206</v>
      </c>
      <c r="C17" s="2">
        <v>7456</v>
      </c>
      <c r="D17" s="2">
        <v>11240</v>
      </c>
      <c r="E17" s="2">
        <v>3400</v>
      </c>
      <c r="F17" s="2">
        <v>5487</v>
      </c>
      <c r="G17" s="2">
        <v>10835</v>
      </c>
      <c r="H17" s="2">
        <v>2828</v>
      </c>
      <c r="I17" s="2">
        <v>3714</v>
      </c>
      <c r="J17" s="2">
        <v>3635</v>
      </c>
      <c r="K17" s="2">
        <v>3975</v>
      </c>
      <c r="L17" s="2">
        <v>4669</v>
      </c>
      <c r="M17" s="2">
        <v>1289</v>
      </c>
      <c r="N17" s="11">
        <v>1403</v>
      </c>
      <c r="O17" s="2">
        <v>5000</v>
      </c>
      <c r="P17" s="2">
        <v>5000</v>
      </c>
      <c r="Q17" s="2">
        <v>5000</v>
      </c>
      <c r="R17" s="2">
        <v>5000</v>
      </c>
      <c r="S17" s="2">
        <v>5000</v>
      </c>
      <c r="T17" s="75">
        <v>0</v>
      </c>
    </row>
    <row r="18" spans="1:20" ht="12.75">
      <c r="A18" t="s">
        <v>115</v>
      </c>
      <c r="B18" s="4">
        <v>52.32</v>
      </c>
      <c r="C18" s="2">
        <v>703</v>
      </c>
      <c r="D18" s="2">
        <v>772</v>
      </c>
      <c r="E18" s="2">
        <v>786</v>
      </c>
      <c r="F18" s="2">
        <v>1116</v>
      </c>
      <c r="G18" s="2">
        <v>1079</v>
      </c>
      <c r="H18" s="2">
        <v>1102</v>
      </c>
      <c r="I18" s="2">
        <v>1499</v>
      </c>
      <c r="J18" s="2">
        <v>1345</v>
      </c>
      <c r="K18" s="2">
        <v>1338</v>
      </c>
      <c r="L18" s="2">
        <v>1757</v>
      </c>
      <c r="M18" s="2">
        <v>1640</v>
      </c>
      <c r="N18" s="11">
        <v>977</v>
      </c>
      <c r="O18" s="2">
        <f>+N18/$N$3*12</f>
        <v>1065.8181818181818</v>
      </c>
      <c r="P18" s="2">
        <v>1500</v>
      </c>
      <c r="Q18" s="2">
        <v>1650</v>
      </c>
      <c r="R18" s="2">
        <v>1650</v>
      </c>
      <c r="S18" s="2">
        <v>1650</v>
      </c>
      <c r="T18" s="75">
        <f>(S18-P18)/P18</f>
        <v>0.1</v>
      </c>
    </row>
    <row r="19" spans="1:20" ht="12.75" hidden="1">
      <c r="A19" t="s">
        <v>116</v>
      </c>
      <c r="B19" s="4">
        <v>52.321</v>
      </c>
      <c r="C19" s="2"/>
      <c r="D19" s="2"/>
      <c r="E19" s="2">
        <v>100</v>
      </c>
      <c r="F19" s="2"/>
      <c r="G19" s="2">
        <v>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5"/>
    </row>
    <row r="20" spans="1:20" ht="12.75" hidden="1">
      <c r="A20" t="s">
        <v>128</v>
      </c>
      <c r="B20" s="4">
        <v>52.35</v>
      </c>
      <c r="C20" s="2">
        <v>321</v>
      </c>
      <c r="D20" s="2">
        <v>300</v>
      </c>
      <c r="E20" s="2">
        <v>297</v>
      </c>
      <c r="F20" s="2"/>
      <c r="G20" s="2">
        <v>107</v>
      </c>
      <c r="H20" s="2"/>
      <c r="I20" s="2">
        <v>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75"/>
    </row>
    <row r="21" spans="1:20" ht="12.75" hidden="1">
      <c r="A21" t="s">
        <v>525</v>
      </c>
      <c r="B21" s="4">
        <v>52.37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 hidden="1">
      <c r="A22" t="s">
        <v>363</v>
      </c>
      <c r="B22" s="4"/>
      <c r="C22" s="2"/>
      <c r="D22" s="2"/>
      <c r="E22" s="2"/>
      <c r="F22" s="2"/>
      <c r="G22" s="2"/>
      <c r="H22" s="2"/>
      <c r="I22" s="2"/>
      <c r="J22" s="2"/>
      <c r="K22" s="2">
        <v>5</v>
      </c>
      <c r="L22" s="2"/>
      <c r="M22" s="2"/>
      <c r="N22" s="2"/>
      <c r="O22" s="2"/>
      <c r="P22" s="2"/>
      <c r="Q22" s="2"/>
      <c r="R22" s="2"/>
      <c r="S22" s="2"/>
      <c r="T22" s="75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5"/>
    </row>
    <row r="24" spans="1:20" ht="12.75">
      <c r="A24" t="s">
        <v>122</v>
      </c>
      <c r="B24" s="4">
        <v>53.12</v>
      </c>
      <c r="C24" s="2">
        <v>3702</v>
      </c>
      <c r="D24" s="2">
        <v>3067</v>
      </c>
      <c r="E24" s="2">
        <v>3235</v>
      </c>
      <c r="F24" s="2">
        <v>4961</v>
      </c>
      <c r="G24" s="2">
        <v>5953</v>
      </c>
      <c r="H24" s="2">
        <v>6204</v>
      </c>
      <c r="I24" s="2">
        <v>6225</v>
      </c>
      <c r="J24" s="2">
        <v>5204</v>
      </c>
      <c r="K24" s="2">
        <v>6000</v>
      </c>
      <c r="L24" s="2">
        <v>6637</v>
      </c>
      <c r="M24" s="2">
        <v>6169</v>
      </c>
      <c r="N24" s="2">
        <v>5437</v>
      </c>
      <c r="O24" s="2">
        <f>+N24/$N$3*12</f>
        <v>5931.272727272727</v>
      </c>
      <c r="P24" s="2">
        <v>5200</v>
      </c>
      <c r="Q24" s="2">
        <v>5200</v>
      </c>
      <c r="R24" s="2">
        <v>5200</v>
      </c>
      <c r="S24" s="2">
        <v>5200</v>
      </c>
      <c r="T24" s="75">
        <f>(S24-P24)/P24</f>
        <v>0</v>
      </c>
    </row>
    <row r="25" spans="1:20" ht="12.75" hidden="1">
      <c r="A25" t="s">
        <v>227</v>
      </c>
      <c r="B25" s="4">
        <v>53.17</v>
      </c>
      <c r="C25" s="2"/>
      <c r="D25" s="2"/>
      <c r="E25" s="2"/>
      <c r="F25" s="2">
        <v>1179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5"/>
    </row>
    <row r="26" spans="1:20" ht="0.75" customHeight="1" hidden="1">
      <c r="A26" t="s">
        <v>174</v>
      </c>
      <c r="B26" s="4">
        <v>53.1702</v>
      </c>
      <c r="C26" s="2">
        <v>135</v>
      </c>
      <c r="D26" s="2">
        <v>51</v>
      </c>
      <c r="E26" s="2">
        <v>8</v>
      </c>
      <c r="F26" s="2">
        <v>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5"/>
    </row>
    <row r="27" spans="1:21" ht="12.75">
      <c r="A27" t="s">
        <v>148</v>
      </c>
      <c r="B27" s="4">
        <v>53.1703</v>
      </c>
      <c r="C27" s="2">
        <v>2921</v>
      </c>
      <c r="D27" s="2">
        <v>3763</v>
      </c>
      <c r="E27" s="2">
        <v>2949</v>
      </c>
      <c r="F27" s="2">
        <v>3092</v>
      </c>
      <c r="G27" s="2">
        <v>4363</v>
      </c>
      <c r="H27" s="2">
        <v>5170</v>
      </c>
      <c r="I27" s="2">
        <v>1573</v>
      </c>
      <c r="J27" s="2">
        <v>1527</v>
      </c>
      <c r="K27" s="2">
        <v>636</v>
      </c>
      <c r="L27" s="2">
        <v>2900</v>
      </c>
      <c r="M27" s="2">
        <v>217</v>
      </c>
      <c r="N27" s="2">
        <v>0</v>
      </c>
      <c r="O27" s="2">
        <f>+N27/$N$3*12</f>
        <v>0</v>
      </c>
      <c r="P27" s="2">
        <v>1000</v>
      </c>
      <c r="Q27" s="2">
        <v>1000</v>
      </c>
      <c r="R27" s="2">
        <v>1000</v>
      </c>
      <c r="S27" s="2">
        <v>1000</v>
      </c>
      <c r="T27" s="75">
        <f>(S27-P27)/P27</f>
        <v>0</v>
      </c>
      <c r="U27" s="10"/>
    </row>
    <row r="28" spans="1:20" ht="12.75">
      <c r="A28" t="s">
        <v>123</v>
      </c>
      <c r="B28" s="4">
        <v>53.171</v>
      </c>
      <c r="C28" s="2">
        <v>520</v>
      </c>
      <c r="D28" s="2">
        <v>669</v>
      </c>
      <c r="E28" s="2">
        <v>924</v>
      </c>
      <c r="F28" s="2">
        <v>513</v>
      </c>
      <c r="G28" s="2">
        <v>703</v>
      </c>
      <c r="H28" s="2">
        <v>88</v>
      </c>
      <c r="I28" s="2">
        <f>100+394</f>
        <v>494</v>
      </c>
      <c r="J28" s="2">
        <v>552</v>
      </c>
      <c r="K28" s="2">
        <v>67</v>
      </c>
      <c r="L28" s="2">
        <v>591</v>
      </c>
      <c r="M28" s="2">
        <v>32</v>
      </c>
      <c r="N28" s="2">
        <v>71</v>
      </c>
      <c r="O28" s="2">
        <f>+N28/$N$3*12</f>
        <v>77.45454545454545</v>
      </c>
      <c r="P28" s="2">
        <v>500</v>
      </c>
      <c r="Q28" s="2">
        <v>200</v>
      </c>
      <c r="R28" s="2">
        <v>200</v>
      </c>
      <c r="S28" s="2">
        <v>200</v>
      </c>
      <c r="T28" s="75">
        <f>(S28-P28)/P28</f>
        <v>-0.6</v>
      </c>
    </row>
    <row r="29" spans="1:20" ht="12.75" hidden="1">
      <c r="A29" t="s">
        <v>230</v>
      </c>
      <c r="B29" s="4">
        <v>53.172</v>
      </c>
      <c r="C29" s="2">
        <v>293</v>
      </c>
      <c r="D29" s="2">
        <v>236</v>
      </c>
      <c r="E29" s="2">
        <v>63</v>
      </c>
      <c r="F29" s="2"/>
      <c r="G29" s="2"/>
      <c r="H29" s="2">
        <v>86</v>
      </c>
      <c r="I29" s="2">
        <f>2+209</f>
        <v>211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75"/>
    </row>
    <row r="30" spans="1:20" ht="12.75">
      <c r="A30" t="s">
        <v>213</v>
      </c>
      <c r="B30" s="4">
        <v>53.174</v>
      </c>
      <c r="C30" s="2">
        <v>5090</v>
      </c>
      <c r="D30" s="2">
        <v>5008</v>
      </c>
      <c r="E30" s="2">
        <v>4466</v>
      </c>
      <c r="F30" s="2">
        <v>4226</v>
      </c>
      <c r="G30" s="2">
        <v>3890</v>
      </c>
      <c r="H30" s="2">
        <v>4618</v>
      </c>
      <c r="I30" s="2">
        <f>4729+91</f>
        <v>4820</v>
      </c>
      <c r="J30" s="2">
        <v>6773</v>
      </c>
      <c r="K30" s="2">
        <f>7384+70</f>
        <v>7454</v>
      </c>
      <c r="L30" s="2">
        <v>7784</v>
      </c>
      <c r="M30" s="2">
        <v>7222</v>
      </c>
      <c r="N30" s="2">
        <v>6745</v>
      </c>
      <c r="O30" s="2">
        <f>+N30/$N$3*12</f>
        <v>7358.181818181818</v>
      </c>
      <c r="P30" s="2">
        <v>7000</v>
      </c>
      <c r="Q30" s="2">
        <v>7000</v>
      </c>
      <c r="R30" s="2">
        <v>7000</v>
      </c>
      <c r="S30" s="2">
        <v>7000</v>
      </c>
      <c r="T30" s="75">
        <f>(S30-P30)/P30</f>
        <v>0</v>
      </c>
    </row>
    <row r="31" spans="1:20" ht="12.75">
      <c r="A31" t="s">
        <v>162</v>
      </c>
      <c r="B31" s="4">
        <v>53.175</v>
      </c>
      <c r="C31" s="2">
        <v>55403</v>
      </c>
      <c r="D31" s="2">
        <v>40563</v>
      </c>
      <c r="E31" s="2">
        <v>54554</v>
      </c>
      <c r="F31" s="2">
        <v>76315</v>
      </c>
      <c r="G31" s="2">
        <v>67426</v>
      </c>
      <c r="H31" s="2">
        <v>58442</v>
      </c>
      <c r="I31" s="2">
        <v>60165</v>
      </c>
      <c r="J31" s="2">
        <v>85308</v>
      </c>
      <c r="K31" s="2">
        <f>102928+503</f>
        <v>103431</v>
      </c>
      <c r="L31" s="2">
        <v>114371</v>
      </c>
      <c r="M31" s="2">
        <v>72935</v>
      </c>
      <c r="N31" s="2">
        <v>56382</v>
      </c>
      <c r="O31" s="2">
        <f>+N31/$N$3*12</f>
        <v>61507.63636363637</v>
      </c>
      <c r="P31" s="2">
        <v>100000</v>
      </c>
      <c r="Q31" s="2">
        <v>75000</v>
      </c>
      <c r="R31" s="2">
        <v>75000</v>
      </c>
      <c r="S31" s="2">
        <v>75000</v>
      </c>
      <c r="T31" s="75">
        <f>(S31-P31)/P31</f>
        <v>-0.25</v>
      </c>
    </row>
    <row r="32" spans="1:21" ht="12.75" hidden="1">
      <c r="A32" t="s">
        <v>231</v>
      </c>
      <c r="B32" s="4">
        <v>53.1755</v>
      </c>
      <c r="C32" s="2">
        <v>5027</v>
      </c>
      <c r="D32" s="2">
        <v>4881</v>
      </c>
      <c r="E32" s="2"/>
      <c r="F32" s="2">
        <v>1224</v>
      </c>
      <c r="G32" s="2">
        <v>10525</v>
      </c>
      <c r="H32" s="2">
        <v>15374</v>
      </c>
      <c r="I32" s="2">
        <v>3708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75"/>
      <c r="U32" t="s">
        <v>821</v>
      </c>
    </row>
    <row r="33" spans="1:20" ht="12.75">
      <c r="A33" t="s">
        <v>151</v>
      </c>
      <c r="B33" s="4">
        <v>53.176</v>
      </c>
      <c r="C33" s="2">
        <v>3958</v>
      </c>
      <c r="D33" s="2">
        <v>3425</v>
      </c>
      <c r="E33" s="2">
        <v>3061</v>
      </c>
      <c r="F33" s="2">
        <v>3298</v>
      </c>
      <c r="G33" s="2">
        <v>4399</v>
      </c>
      <c r="H33" s="2">
        <v>4063</v>
      </c>
      <c r="I33" s="2">
        <v>5798</v>
      </c>
      <c r="J33" s="2">
        <v>5993</v>
      </c>
      <c r="K33" s="2">
        <v>6147</v>
      </c>
      <c r="L33" s="2">
        <v>6487</v>
      </c>
      <c r="M33" s="2">
        <v>5533</v>
      </c>
      <c r="N33" s="2">
        <v>6159</v>
      </c>
      <c r="O33" s="2">
        <f>+N33/$N$3*12</f>
        <v>6718.90909090909</v>
      </c>
      <c r="P33" s="2">
        <v>6200</v>
      </c>
      <c r="Q33" s="2">
        <v>6500</v>
      </c>
      <c r="R33" s="2">
        <v>6500</v>
      </c>
      <c r="S33" s="2">
        <v>6500</v>
      </c>
      <c r="T33" s="75">
        <f>(S33-P33)/P33</f>
        <v>0.04838709677419355</v>
      </c>
    </row>
    <row r="34" spans="1:20" ht="12.75">
      <c r="A34" t="s">
        <v>152</v>
      </c>
      <c r="B34" s="4">
        <v>53.177</v>
      </c>
      <c r="C34" s="2">
        <v>10754</v>
      </c>
      <c r="D34" s="2">
        <v>14729</v>
      </c>
      <c r="E34" s="2">
        <v>10095</v>
      </c>
      <c r="F34" s="2">
        <v>18449</v>
      </c>
      <c r="G34" s="2">
        <v>11878</v>
      </c>
      <c r="H34" s="2">
        <v>13014</v>
      </c>
      <c r="I34" s="2">
        <v>13202</v>
      </c>
      <c r="J34" s="2">
        <v>34984</v>
      </c>
      <c r="K34" s="2">
        <v>16647</v>
      </c>
      <c r="L34" s="2">
        <v>35055</v>
      </c>
      <c r="M34" s="2">
        <v>13211</v>
      </c>
      <c r="N34" s="2">
        <v>26953</v>
      </c>
      <c r="O34" s="2">
        <f>+N34/$N$3*12</f>
        <v>29403.272727272728</v>
      </c>
      <c r="P34" s="2">
        <v>20000</v>
      </c>
      <c r="Q34" s="2">
        <v>20000</v>
      </c>
      <c r="R34" s="2">
        <v>20000</v>
      </c>
      <c r="S34" s="2">
        <v>20000</v>
      </c>
      <c r="T34" s="75">
        <f>(S34-P34)/P34</f>
        <v>0</v>
      </c>
    </row>
    <row r="35" spans="1:20" ht="12.75">
      <c r="A35" t="s">
        <v>165</v>
      </c>
      <c r="B35" s="4">
        <v>53.178</v>
      </c>
      <c r="C35" s="2">
        <v>2791</v>
      </c>
      <c r="D35" s="2">
        <v>2029</v>
      </c>
      <c r="E35" s="2">
        <v>2068</v>
      </c>
      <c r="F35" s="2">
        <v>1588</v>
      </c>
      <c r="G35" s="2">
        <v>2619</v>
      </c>
      <c r="H35" s="2">
        <v>1055</v>
      </c>
      <c r="I35" s="2">
        <v>2156</v>
      </c>
      <c r="J35" s="2">
        <v>1004</v>
      </c>
      <c r="K35" s="2">
        <v>2428</v>
      </c>
      <c r="L35" s="2">
        <v>2741</v>
      </c>
      <c r="M35" s="2">
        <v>2584</v>
      </c>
      <c r="N35" s="2">
        <v>2837</v>
      </c>
      <c r="O35" s="2">
        <f>+N35/$N$3*12</f>
        <v>3094.909090909091</v>
      </c>
      <c r="P35" s="2">
        <v>1500</v>
      </c>
      <c r="Q35" s="2">
        <v>3000</v>
      </c>
      <c r="R35" s="2">
        <v>3000</v>
      </c>
      <c r="S35" s="2">
        <v>3000</v>
      </c>
      <c r="T35" s="75">
        <f>(S35-P35)/P35</f>
        <v>1</v>
      </c>
    </row>
    <row r="36" spans="1:20" ht="12.75">
      <c r="A36" t="s">
        <v>153</v>
      </c>
      <c r="B36" s="4">
        <v>53.179</v>
      </c>
      <c r="C36" s="2">
        <v>3827</v>
      </c>
      <c r="D36" s="2">
        <v>6560</v>
      </c>
      <c r="E36" s="2">
        <v>6528</v>
      </c>
      <c r="F36" s="2">
        <v>4765</v>
      </c>
      <c r="G36" s="2">
        <v>8679</v>
      </c>
      <c r="H36" s="2">
        <v>11008</v>
      </c>
      <c r="I36" s="2">
        <v>13425</v>
      </c>
      <c r="J36" s="2">
        <v>19201</v>
      </c>
      <c r="K36" s="2">
        <v>18052</v>
      </c>
      <c r="L36" s="2">
        <v>30072</v>
      </c>
      <c r="M36" s="2">
        <v>21466</v>
      </c>
      <c r="N36" s="2">
        <v>23967</v>
      </c>
      <c r="O36" s="2">
        <f>+N36/$N$3*12</f>
        <v>26145.818181818184</v>
      </c>
      <c r="P36" s="2">
        <v>23000</v>
      </c>
      <c r="Q36" s="2">
        <v>27000</v>
      </c>
      <c r="R36" s="2">
        <v>27000</v>
      </c>
      <c r="S36" s="2">
        <v>27000</v>
      </c>
      <c r="T36" s="75">
        <f>(S36-P36)/P36</f>
        <v>0.17391304347826086</v>
      </c>
    </row>
    <row r="37" spans="1:20" ht="12.75">
      <c r="A37" t="s">
        <v>215</v>
      </c>
      <c r="B37" s="4">
        <v>53.18</v>
      </c>
      <c r="C37" s="2">
        <v>19524</v>
      </c>
      <c r="D37" s="2">
        <v>32914</v>
      </c>
      <c r="E37" s="2">
        <v>29222</v>
      </c>
      <c r="F37" s="2">
        <v>22406</v>
      </c>
      <c r="G37" s="2">
        <v>30330</v>
      </c>
      <c r="H37" s="2">
        <v>29659</v>
      </c>
      <c r="I37" s="2">
        <v>56080</v>
      </c>
      <c r="J37" s="2">
        <v>98898</v>
      </c>
      <c r="K37" s="2">
        <v>105406</v>
      </c>
      <c r="L37" s="2">
        <v>169757</v>
      </c>
      <c r="M37" s="2">
        <v>71401</v>
      </c>
      <c r="N37" s="2">
        <v>74450</v>
      </c>
      <c r="O37" s="2">
        <f>+N37/$N$3*12</f>
        <v>81218.18181818182</v>
      </c>
      <c r="P37" s="2">
        <v>90000</v>
      </c>
      <c r="Q37" s="2">
        <v>90000</v>
      </c>
      <c r="R37" s="2">
        <v>90000</v>
      </c>
      <c r="S37" s="2">
        <v>90000</v>
      </c>
      <c r="T37" s="75">
        <f>(S37-P37)/P37</f>
        <v>0</v>
      </c>
    </row>
    <row r="38" spans="2:20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3" customHeight="1" hidden="1">
      <c r="A39" t="s">
        <v>226</v>
      </c>
      <c r="B39" s="4">
        <v>54.12</v>
      </c>
      <c r="C39" s="2"/>
      <c r="D39" s="2"/>
      <c r="E39" s="2"/>
      <c r="F39" s="2">
        <v>2618</v>
      </c>
      <c r="G39" s="2"/>
      <c r="H39" s="2"/>
      <c r="I39" s="2"/>
      <c r="J39" s="2"/>
      <c r="K39" s="2"/>
      <c r="L39" s="2"/>
      <c r="M39" s="2"/>
      <c r="N39" s="2"/>
      <c r="O39" s="2">
        <f>+N39/$N$3*12</f>
        <v>0</v>
      </c>
      <c r="P39" s="2"/>
      <c r="Q39" s="2"/>
      <c r="R39" s="2"/>
      <c r="S39" s="2"/>
      <c r="T39" s="48"/>
    </row>
    <row r="40" spans="1:20" ht="12.75" hidden="1">
      <c r="A40" t="s">
        <v>232</v>
      </c>
      <c r="B40" s="4">
        <v>54.21</v>
      </c>
      <c r="C40" s="2"/>
      <c r="D40" s="2">
        <v>2600</v>
      </c>
      <c r="E40" s="2">
        <v>3049</v>
      </c>
      <c r="F40" s="2">
        <v>11519</v>
      </c>
      <c r="G40" s="2"/>
      <c r="H40" s="2"/>
      <c r="I40" s="2"/>
      <c r="J40" s="2"/>
      <c r="K40" s="2"/>
      <c r="L40" s="2"/>
      <c r="M40" s="2"/>
      <c r="N40" s="2"/>
      <c r="O40" s="2">
        <f>+N40/$N$3*12</f>
        <v>0</v>
      </c>
      <c r="P40" s="2"/>
      <c r="Q40" s="2"/>
      <c r="R40" s="2"/>
      <c r="S40" s="2"/>
      <c r="T40" s="48"/>
    </row>
    <row r="41" spans="1:20" ht="12.75">
      <c r="A41" t="s">
        <v>294</v>
      </c>
      <c r="B41" s="4">
        <v>54.22</v>
      </c>
      <c r="C41" s="5">
        <v>20500</v>
      </c>
      <c r="D41" s="5"/>
      <c r="E41" s="5"/>
      <c r="F41" s="2">
        <v>11515</v>
      </c>
      <c r="G41" s="2"/>
      <c r="H41" s="2"/>
      <c r="I41" s="2"/>
      <c r="J41" s="2">
        <v>5304</v>
      </c>
      <c r="K41" s="2"/>
      <c r="L41" s="2">
        <v>3036</v>
      </c>
      <c r="M41" s="2"/>
      <c r="N41" s="2"/>
      <c r="O41" s="2"/>
      <c r="P41" s="2"/>
      <c r="Q41" s="2"/>
      <c r="R41" s="2"/>
      <c r="S41" s="2"/>
      <c r="T41" s="48"/>
    </row>
    <row r="42" spans="1:20" ht="12.75">
      <c r="A42" t="s">
        <v>662</v>
      </c>
      <c r="B42" s="4">
        <v>54.411</v>
      </c>
      <c r="C42" s="5"/>
      <c r="D42" s="5"/>
      <c r="E42" s="5"/>
      <c r="F42" s="2"/>
      <c r="G42" s="2"/>
      <c r="H42" s="2"/>
      <c r="I42" s="2"/>
      <c r="J42" s="2">
        <v>74632</v>
      </c>
      <c r="K42" s="2"/>
      <c r="L42" s="2"/>
      <c r="M42" s="2"/>
      <c r="N42" s="2"/>
      <c r="O42" s="2"/>
      <c r="P42" s="2"/>
      <c r="Q42" s="2"/>
      <c r="R42" s="2"/>
      <c r="S42" s="2"/>
      <c r="T42" s="48"/>
    </row>
    <row r="43" spans="1:20" ht="12.75" hidden="1">
      <c r="A43" t="s">
        <v>295</v>
      </c>
      <c r="B43" s="4">
        <v>54.25</v>
      </c>
      <c r="C43" s="5"/>
      <c r="D43" s="5">
        <v>114</v>
      </c>
      <c r="E43" s="5"/>
      <c r="F43" s="2">
        <v>4610</v>
      </c>
      <c r="G43" s="2"/>
      <c r="H43" s="2">
        <v>750</v>
      </c>
      <c r="I43" s="2"/>
      <c r="J43" s="2"/>
      <c r="K43" s="2"/>
      <c r="L43" s="2"/>
      <c r="M43" s="2"/>
      <c r="N43" s="2"/>
      <c r="O43" s="2"/>
      <c r="P43" s="5"/>
      <c r="Q43" s="5"/>
      <c r="R43" s="5"/>
      <c r="S43" s="5"/>
      <c r="T43" s="48"/>
    </row>
    <row r="44" spans="2:20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8"/>
    </row>
    <row r="45" spans="1:20" ht="12.75">
      <c r="A45" s="6" t="s">
        <v>91</v>
      </c>
      <c r="B45" s="6"/>
      <c r="C45" s="8">
        <v>710157</v>
      </c>
      <c r="D45" s="8">
        <v>719420</v>
      </c>
      <c r="E45" s="8">
        <v>775535</v>
      </c>
      <c r="F45" s="8">
        <v>763065</v>
      </c>
      <c r="G45" s="8">
        <v>677851</v>
      </c>
      <c r="H45" s="8">
        <v>807182</v>
      </c>
      <c r="I45" s="8">
        <f>SUM(I7:I44)</f>
        <v>793807</v>
      </c>
      <c r="J45" s="8">
        <v>1139844</v>
      </c>
      <c r="K45" s="8">
        <f aca="true" t="shared" si="0" ref="K45:S45">SUM(K7:K44)</f>
        <v>1094040</v>
      </c>
      <c r="L45" s="8">
        <v>1221074</v>
      </c>
      <c r="M45" s="8">
        <v>415410</v>
      </c>
      <c r="N45" s="8">
        <f t="shared" si="0"/>
        <v>294560</v>
      </c>
      <c r="O45" s="8">
        <f t="shared" si="0"/>
        <v>466902.27272727276</v>
      </c>
      <c r="P45" s="8">
        <f t="shared" si="0"/>
        <v>514060.56</v>
      </c>
      <c r="Q45" s="8">
        <f t="shared" si="0"/>
        <v>538891.1795000001</v>
      </c>
      <c r="R45" s="8">
        <f t="shared" si="0"/>
        <v>538891.1795000001</v>
      </c>
      <c r="S45" s="8">
        <f t="shared" si="0"/>
        <v>538891.1795000001</v>
      </c>
      <c r="T45" s="56">
        <f>(S45-P45)/P45</f>
        <v>0.04830290715164005</v>
      </c>
    </row>
    <row r="47" spans="16:18" ht="12.75">
      <c r="P47" s="20" t="s">
        <v>445</v>
      </c>
      <c r="Q47" s="20"/>
      <c r="R47" s="52">
        <f>Q45-R45</f>
        <v>0</v>
      </c>
    </row>
    <row r="48" spans="16:18" ht="12.75">
      <c r="P48" s="20" t="s">
        <v>668</v>
      </c>
      <c r="Q48" s="20"/>
      <c r="R48" s="52">
        <f>P45-R45</f>
        <v>-24830.619500000088</v>
      </c>
    </row>
    <row r="49" spans="1:18" ht="12.75">
      <c r="A49" s="14"/>
      <c r="P49" s="20" t="s">
        <v>397</v>
      </c>
      <c r="Q49" s="20"/>
      <c r="R49" s="52">
        <f>R45-S45</f>
        <v>0</v>
      </c>
    </row>
    <row r="50" spans="1:19" ht="12.75">
      <c r="A50" s="16"/>
      <c r="Q50" s="18"/>
      <c r="R50" s="18"/>
      <c r="S50" s="18"/>
    </row>
    <row r="51" spans="1:19" ht="12.75">
      <c r="A51" s="139"/>
      <c r="Q51" s="18"/>
      <c r="R51" s="18"/>
      <c r="S51" s="18"/>
    </row>
    <row r="52" spans="1:19" ht="12.75">
      <c r="A52" s="148" t="s">
        <v>999</v>
      </c>
      <c r="Q52" s="18"/>
      <c r="R52" s="18"/>
      <c r="S52" s="18"/>
    </row>
    <row r="53" ht="12.75">
      <c r="A53" s="14" t="s">
        <v>1000</v>
      </c>
    </row>
    <row r="54" ht="12.75">
      <c r="A54" s="14" t="s">
        <v>869</v>
      </c>
    </row>
    <row r="55" ht="12.75">
      <c r="A55" s="14"/>
    </row>
    <row r="56" ht="12.75">
      <c r="A56" s="14"/>
    </row>
    <row r="58" ht="12.75">
      <c r="R58" s="5"/>
    </row>
    <row r="59" ht="12.75">
      <c r="R59" s="5"/>
    </row>
    <row r="60" ht="12.75">
      <c r="R60" s="5"/>
    </row>
    <row r="61" ht="12.75">
      <c r="R61" s="5"/>
    </row>
    <row r="62" ht="12.75">
      <c r="R62" s="5"/>
    </row>
    <row r="63" spans="17:18" ht="12.75">
      <c r="Q63" s="5"/>
      <c r="R63" s="5"/>
    </row>
    <row r="65" ht="12.75">
      <c r="R65" s="5"/>
    </row>
    <row r="66" spans="17:18" ht="12.75">
      <c r="Q66" s="11"/>
      <c r="R66" s="5"/>
    </row>
    <row r="67" spans="17:18" ht="12.75">
      <c r="Q67" s="11"/>
      <c r="R67" s="5"/>
    </row>
    <row r="68" spans="3:15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3:15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U7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11.7109375" style="0" hidden="1" customWidth="1"/>
    <col min="11" max="14" width="11.7109375" style="0" customWidth="1"/>
    <col min="15" max="15" width="13.421875" style="0" bestFit="1" customWidth="1"/>
    <col min="16" max="18" width="11.71093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433</v>
      </c>
      <c r="N3" s="53">
        <v>10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604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252534.3</v>
      </c>
      <c r="M7" s="2">
        <v>245287</v>
      </c>
      <c r="N7" s="2">
        <v>180087</v>
      </c>
      <c r="O7" s="2">
        <f>+N7/$N$3*12</f>
        <v>216104.40000000002</v>
      </c>
      <c r="P7" s="19">
        <v>230007</v>
      </c>
      <c r="Q7" s="19">
        <v>260571.2</v>
      </c>
      <c r="R7" s="19">
        <v>260571.2</v>
      </c>
      <c r="S7" s="19">
        <v>260571.2</v>
      </c>
      <c r="T7" s="75">
        <f>(S7-P7)/P7</f>
        <v>0.13288378179794533</v>
      </c>
      <c r="U7" t="s">
        <v>871</v>
      </c>
    </row>
    <row r="8" spans="1:21" ht="12.75">
      <c r="A8" t="s">
        <v>870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/>
      <c r="P8" s="19">
        <v>16894.8</v>
      </c>
      <c r="Q8" s="19">
        <v>15000</v>
      </c>
      <c r="R8" s="19">
        <v>15000</v>
      </c>
      <c r="S8" s="19">
        <v>15000</v>
      </c>
      <c r="T8" s="75"/>
      <c r="U8" t="s">
        <v>526</v>
      </c>
    </row>
    <row r="9" spans="1:20" ht="12.75">
      <c r="A9" t="s">
        <v>126</v>
      </c>
      <c r="B9" s="4">
        <v>51.13</v>
      </c>
      <c r="C9" s="2">
        <v>1316</v>
      </c>
      <c r="D9" s="2">
        <v>1473</v>
      </c>
      <c r="E9" s="2">
        <v>465</v>
      </c>
      <c r="F9" s="2">
        <v>850</v>
      </c>
      <c r="G9" s="2">
        <v>857</v>
      </c>
      <c r="H9" s="2">
        <v>1210</v>
      </c>
      <c r="I9" s="2">
        <v>1141</v>
      </c>
      <c r="J9" s="2">
        <v>1659</v>
      </c>
      <c r="K9" s="2">
        <v>1781</v>
      </c>
      <c r="L9" s="2">
        <v>2137</v>
      </c>
      <c r="M9" s="2">
        <v>1489</v>
      </c>
      <c r="N9" s="2">
        <v>700</v>
      </c>
      <c r="O9" s="2">
        <f aca="true" t="shared" si="0" ref="O9:O38">+N9/$N$3*12</f>
        <v>840</v>
      </c>
      <c r="P9" s="19">
        <v>1500</v>
      </c>
      <c r="Q9" s="2">
        <v>1500</v>
      </c>
      <c r="R9" s="2">
        <v>1500</v>
      </c>
      <c r="S9" s="2">
        <v>1500</v>
      </c>
      <c r="T9" s="75">
        <f>(S9-P9)/P9</f>
        <v>0</v>
      </c>
    </row>
    <row r="10" spans="1:21" ht="12.75">
      <c r="A10" t="s">
        <v>133</v>
      </c>
      <c r="B10" s="4">
        <v>51.21</v>
      </c>
      <c r="C10" s="2">
        <v>12529</v>
      </c>
      <c r="D10" s="2">
        <v>15087</v>
      </c>
      <c r="E10" s="2">
        <v>17849</v>
      </c>
      <c r="F10" s="2">
        <v>17038</v>
      </c>
      <c r="G10" s="2">
        <v>18879</v>
      </c>
      <c r="H10" s="2">
        <v>22143</v>
      </c>
      <c r="I10" s="2">
        <v>22289</v>
      </c>
      <c r="J10" s="2">
        <v>23789</v>
      </c>
      <c r="K10" s="2">
        <v>25060</v>
      </c>
      <c r="L10" s="2">
        <v>30624</v>
      </c>
      <c r="M10" s="2">
        <v>30700</v>
      </c>
      <c r="N10" s="2">
        <v>18600</v>
      </c>
      <c r="O10" s="2">
        <f t="shared" si="0"/>
        <v>22320</v>
      </c>
      <c r="P10" s="28">
        <f>6*4920</f>
        <v>29520</v>
      </c>
      <c r="Q10" s="28">
        <v>39680</v>
      </c>
      <c r="R10" s="28">
        <f>4960*8</f>
        <v>39680</v>
      </c>
      <c r="S10" s="28">
        <v>39680</v>
      </c>
      <c r="T10" s="75">
        <f>(S10-P10)/P10</f>
        <v>0.34417344173441733</v>
      </c>
      <c r="U10" t="s">
        <v>1004</v>
      </c>
    </row>
    <row r="11" spans="1:21" ht="12.75">
      <c r="A11" t="s">
        <v>113</v>
      </c>
      <c r="B11" s="4">
        <v>51.22</v>
      </c>
      <c r="C11" s="2">
        <v>10904</v>
      </c>
      <c r="D11" s="2">
        <v>11512</v>
      </c>
      <c r="E11" s="2">
        <v>12151</v>
      </c>
      <c r="F11" s="2">
        <v>14519</v>
      </c>
      <c r="G11" s="2">
        <v>14173</v>
      </c>
      <c r="H11" s="2">
        <v>16369</v>
      </c>
      <c r="I11" s="2">
        <v>16505</v>
      </c>
      <c r="J11" s="2">
        <v>17426</v>
      </c>
      <c r="K11" s="2">
        <v>17474</v>
      </c>
      <c r="L11" s="2">
        <v>19417.89</v>
      </c>
      <c r="M11" s="2">
        <v>18816</v>
      </c>
      <c r="N11" s="2">
        <v>13773</v>
      </c>
      <c r="O11" s="2">
        <f t="shared" si="0"/>
        <v>16527.6</v>
      </c>
      <c r="P11" s="147">
        <f>(P7+P9)*0.0765</f>
        <v>17710.285499999998</v>
      </c>
      <c r="Q11" s="19">
        <f>(Q7+Q8)*0.0765</f>
        <v>21081.1968</v>
      </c>
      <c r="R11" s="19">
        <f>(R7+R8)*0.0765</f>
        <v>21081.1968</v>
      </c>
      <c r="S11" s="19">
        <f>(S7+S8)*0.0765</f>
        <v>21081.1968</v>
      </c>
      <c r="T11" s="75">
        <f>(S11-P11)/P11</f>
        <v>0.19033636131952836</v>
      </c>
      <c r="U11" t="s">
        <v>463</v>
      </c>
    </row>
    <row r="12" spans="1:20" ht="12.75">
      <c r="A12" t="s">
        <v>127</v>
      </c>
      <c r="B12" s="4">
        <v>51.24</v>
      </c>
      <c r="C12" s="2">
        <v>2871</v>
      </c>
      <c r="D12" s="2">
        <v>3057</v>
      </c>
      <c r="E12" s="2">
        <v>4345</v>
      </c>
      <c r="F12" s="2">
        <v>4007</v>
      </c>
      <c r="G12" s="2">
        <v>4511</v>
      </c>
      <c r="H12" s="2">
        <v>5035</v>
      </c>
      <c r="I12" s="2">
        <v>5856</v>
      </c>
      <c r="J12" s="2">
        <v>6313</v>
      </c>
      <c r="K12" s="2">
        <v>5830</v>
      </c>
      <c r="L12" s="2">
        <v>6616</v>
      </c>
      <c r="M12" s="2">
        <v>2271</v>
      </c>
      <c r="N12" s="2">
        <v>2799</v>
      </c>
      <c r="O12" s="2">
        <f t="shared" si="0"/>
        <v>3358.7999999999997</v>
      </c>
      <c r="P12" s="19">
        <v>7100</v>
      </c>
      <c r="Q12" s="19">
        <v>3600</v>
      </c>
      <c r="R12" s="19">
        <v>3600</v>
      </c>
      <c r="S12" s="19">
        <v>3600</v>
      </c>
      <c r="T12" s="75">
        <f>(S12-P12)/P12</f>
        <v>-0.49295774647887325</v>
      </c>
    </row>
    <row r="13" spans="2:21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  <c r="Q13" s="2"/>
      <c r="R13" s="19"/>
      <c r="S13" s="19"/>
      <c r="T13" s="75"/>
      <c r="U13" s="2"/>
    </row>
    <row r="14" spans="1:20" ht="12.75" hidden="1">
      <c r="A14" t="s">
        <v>611</v>
      </c>
      <c r="B14" s="4">
        <v>52.1307</v>
      </c>
      <c r="C14" s="2"/>
      <c r="D14" s="2"/>
      <c r="E14" s="2">
        <v>300</v>
      </c>
      <c r="F14" s="2">
        <v>325</v>
      </c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  <c r="P14" s="19"/>
      <c r="Q14" s="2"/>
      <c r="R14" s="19"/>
      <c r="S14" s="19"/>
      <c r="T14" s="75"/>
    </row>
    <row r="15" spans="1:20" ht="12.75">
      <c r="A15" t="s">
        <v>352</v>
      </c>
      <c r="B15" s="4">
        <v>52.22</v>
      </c>
      <c r="C15" s="2"/>
      <c r="D15" s="2"/>
      <c r="E15" s="2">
        <v>1812</v>
      </c>
      <c r="F15" s="2"/>
      <c r="G15" s="2"/>
      <c r="H15" s="2"/>
      <c r="I15" s="2">
        <v>450</v>
      </c>
      <c r="J15" s="2">
        <v>419</v>
      </c>
      <c r="K15" s="2">
        <v>215</v>
      </c>
      <c r="L15" s="2">
        <v>300</v>
      </c>
      <c r="M15" s="2">
        <v>224</v>
      </c>
      <c r="N15" s="2">
        <v>0</v>
      </c>
      <c r="O15" s="2">
        <v>500</v>
      </c>
      <c r="P15" s="19">
        <v>500</v>
      </c>
      <c r="Q15" s="2">
        <v>500</v>
      </c>
      <c r="R15" s="19">
        <v>500</v>
      </c>
      <c r="S15" s="19">
        <v>500</v>
      </c>
      <c r="T15" s="75"/>
    </row>
    <row r="16" spans="1:20" ht="12.75">
      <c r="A16" t="s">
        <v>234</v>
      </c>
      <c r="B16" s="4">
        <v>52.2206</v>
      </c>
      <c r="C16" s="2">
        <v>480</v>
      </c>
      <c r="D16" s="2">
        <v>412</v>
      </c>
      <c r="E16" s="2">
        <v>160</v>
      </c>
      <c r="F16" s="2">
        <v>791</v>
      </c>
      <c r="G16" s="2">
        <v>434</v>
      </c>
      <c r="H16" s="2">
        <v>444</v>
      </c>
      <c r="I16" s="2">
        <v>585</v>
      </c>
      <c r="J16" s="2">
        <v>536</v>
      </c>
      <c r="K16" s="2">
        <v>193</v>
      </c>
      <c r="L16" s="2">
        <v>205</v>
      </c>
      <c r="M16" s="2">
        <v>736</v>
      </c>
      <c r="N16" s="2">
        <v>0</v>
      </c>
      <c r="O16" s="2">
        <v>800</v>
      </c>
      <c r="P16" s="19">
        <v>800</v>
      </c>
      <c r="Q16" s="2">
        <v>800</v>
      </c>
      <c r="R16" s="19">
        <v>800</v>
      </c>
      <c r="S16" s="19">
        <v>800</v>
      </c>
      <c r="T16" s="75">
        <f>(S16-P16)/P16</f>
        <v>0</v>
      </c>
    </row>
    <row r="17" spans="1:20" ht="12.75" hidden="1">
      <c r="A17" t="s">
        <v>353</v>
      </c>
      <c r="B17" s="4">
        <v>52.23</v>
      </c>
      <c r="C17" s="2"/>
      <c r="D17" s="2"/>
      <c r="E17" s="2"/>
      <c r="F17" s="2">
        <v>62</v>
      </c>
      <c r="G17" s="2"/>
      <c r="H17" s="2"/>
      <c r="I17" s="2"/>
      <c r="J17" s="2"/>
      <c r="K17" s="2"/>
      <c r="L17" s="2"/>
      <c r="M17" s="2"/>
      <c r="O17" s="2">
        <f t="shared" si="0"/>
        <v>0</v>
      </c>
      <c r="P17" s="19"/>
      <c r="Q17" s="2"/>
      <c r="R17" s="19"/>
      <c r="S17" s="19"/>
      <c r="T17" s="75"/>
    </row>
    <row r="18" spans="1:20" ht="12.75">
      <c r="A18" t="s">
        <v>235</v>
      </c>
      <c r="B18" s="4">
        <v>52.2327</v>
      </c>
      <c r="C18" s="2"/>
      <c r="D18" s="2"/>
      <c r="E18" s="2"/>
      <c r="F18" s="2">
        <v>875</v>
      </c>
      <c r="G18" s="2">
        <v>644</v>
      </c>
      <c r="H18" s="2">
        <v>739</v>
      </c>
      <c r="I18" s="2">
        <v>763</v>
      </c>
      <c r="J18" s="2">
        <v>427</v>
      </c>
      <c r="K18" s="2">
        <v>379</v>
      </c>
      <c r="L18" s="2">
        <v>409</v>
      </c>
      <c r="M18" s="2">
        <v>409</v>
      </c>
      <c r="N18" s="11">
        <v>45</v>
      </c>
      <c r="O18" s="2">
        <v>500</v>
      </c>
      <c r="P18" s="19">
        <v>500</v>
      </c>
      <c r="Q18" s="2">
        <v>500</v>
      </c>
      <c r="R18" s="19">
        <v>500</v>
      </c>
      <c r="S18" s="19">
        <v>500</v>
      </c>
      <c r="T18" s="75">
        <f>(S18-P18)/P18</f>
        <v>0</v>
      </c>
    </row>
    <row r="19" spans="1:20" ht="12.75">
      <c r="A19" t="s">
        <v>115</v>
      </c>
      <c r="B19" s="4">
        <v>52.32</v>
      </c>
      <c r="C19" s="2">
        <v>1573</v>
      </c>
      <c r="D19" s="2">
        <v>1632</v>
      </c>
      <c r="E19" s="2">
        <v>1922</v>
      </c>
      <c r="F19" s="2">
        <v>2078</v>
      </c>
      <c r="G19" s="2">
        <v>1804</v>
      </c>
      <c r="H19" s="2">
        <v>2582</v>
      </c>
      <c r="I19" s="2">
        <v>2088</v>
      </c>
      <c r="J19" s="2">
        <v>2607</v>
      </c>
      <c r="K19" s="2">
        <v>3001</v>
      </c>
      <c r="L19" s="2">
        <v>2960</v>
      </c>
      <c r="M19" s="2">
        <v>2945</v>
      </c>
      <c r="N19" s="11">
        <v>2422</v>
      </c>
      <c r="O19" s="2">
        <f t="shared" si="0"/>
        <v>2906.3999999999996</v>
      </c>
      <c r="P19" s="19">
        <v>2800</v>
      </c>
      <c r="Q19" s="2">
        <v>2800</v>
      </c>
      <c r="R19" s="19">
        <v>2800</v>
      </c>
      <c r="S19" s="19">
        <v>2800</v>
      </c>
      <c r="T19" s="75">
        <f>(S19-P19)/P19</f>
        <v>0</v>
      </c>
    </row>
    <row r="20" spans="1:20" ht="12.75">
      <c r="A20" t="s">
        <v>116</v>
      </c>
      <c r="B20" s="4">
        <v>52.321</v>
      </c>
      <c r="C20" s="2">
        <v>74</v>
      </c>
      <c r="D20" s="2">
        <v>50</v>
      </c>
      <c r="E20" s="2">
        <v>34</v>
      </c>
      <c r="F20" s="2">
        <v>34</v>
      </c>
      <c r="G20" s="2">
        <v>74</v>
      </c>
      <c r="H20" s="2">
        <v>37</v>
      </c>
      <c r="I20" s="2">
        <v>22</v>
      </c>
      <c r="J20" s="2">
        <v>37</v>
      </c>
      <c r="K20" s="2">
        <v>122</v>
      </c>
      <c r="L20" s="2"/>
      <c r="M20" s="2">
        <v>42</v>
      </c>
      <c r="N20" s="11">
        <v>0</v>
      </c>
      <c r="O20" s="2">
        <v>75</v>
      </c>
      <c r="P20" s="19">
        <v>75</v>
      </c>
      <c r="Q20" s="2">
        <v>75</v>
      </c>
      <c r="R20" s="19">
        <v>75</v>
      </c>
      <c r="S20" s="19">
        <v>75</v>
      </c>
      <c r="T20" s="75">
        <f>(S20-P20)/P20</f>
        <v>0</v>
      </c>
    </row>
    <row r="21" spans="1:20" ht="12.75">
      <c r="A21" t="s">
        <v>128</v>
      </c>
      <c r="B21" s="4">
        <v>52.35</v>
      </c>
      <c r="C21" s="2">
        <v>99</v>
      </c>
      <c r="D21" s="2">
        <v>357</v>
      </c>
      <c r="E21" s="2"/>
      <c r="F21" s="2">
        <v>61</v>
      </c>
      <c r="G21" s="2"/>
      <c r="H21" s="2">
        <v>37</v>
      </c>
      <c r="I21" s="2">
        <f>79+5</f>
        <v>84</v>
      </c>
      <c r="J21" s="2">
        <v>73</v>
      </c>
      <c r="K21" s="2">
        <v>87</v>
      </c>
      <c r="L21" s="2">
        <v>170</v>
      </c>
      <c r="M21" s="2">
        <v>20</v>
      </c>
      <c r="N21" s="11">
        <v>0</v>
      </c>
      <c r="O21" s="2">
        <v>100</v>
      </c>
      <c r="P21" s="19">
        <v>100</v>
      </c>
      <c r="Q21" s="2">
        <v>100</v>
      </c>
      <c r="R21" s="19">
        <v>100</v>
      </c>
      <c r="S21" s="19">
        <v>100</v>
      </c>
      <c r="T21" s="75">
        <f>(S21-P21)/P21</f>
        <v>0</v>
      </c>
    </row>
    <row r="22" spans="1:20" ht="12.75" hidden="1">
      <c r="A22" t="s">
        <v>119</v>
      </c>
      <c r="B22" s="4">
        <v>52.37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0</v>
      </c>
      <c r="P22" s="19"/>
      <c r="Q22" s="2"/>
      <c r="R22" s="19"/>
      <c r="S22" s="19"/>
      <c r="T22" s="75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9"/>
      <c r="Q23" s="2"/>
      <c r="R23" s="19"/>
      <c r="S23" s="19"/>
      <c r="T23" s="75"/>
    </row>
    <row r="24" spans="1:20" ht="12.75">
      <c r="A24" t="s">
        <v>122</v>
      </c>
      <c r="B24" s="4">
        <v>53.12</v>
      </c>
      <c r="C24" s="2">
        <v>3084</v>
      </c>
      <c r="D24" s="2">
        <v>6868</v>
      </c>
      <c r="E24" s="2">
        <v>6979</v>
      </c>
      <c r="F24" s="2">
        <v>5595</v>
      </c>
      <c r="G24" s="2">
        <v>6692</v>
      </c>
      <c r="H24" s="2">
        <v>6148</v>
      </c>
      <c r="I24" s="2">
        <v>7630</v>
      </c>
      <c r="J24" s="2">
        <v>7419</v>
      </c>
      <c r="K24" s="2">
        <v>7889</v>
      </c>
      <c r="L24" s="2">
        <f>8097+449</f>
        <v>8546</v>
      </c>
      <c r="M24" s="2">
        <v>8389</v>
      </c>
      <c r="N24" s="11">
        <v>7103</v>
      </c>
      <c r="O24" s="2">
        <f t="shared" si="0"/>
        <v>8523.599999999999</v>
      </c>
      <c r="P24" s="19">
        <v>9000</v>
      </c>
      <c r="Q24" s="2">
        <v>9000</v>
      </c>
      <c r="R24" s="19">
        <v>9000</v>
      </c>
      <c r="S24" s="19">
        <v>9000</v>
      </c>
      <c r="T24" s="75">
        <f>(S24-P24)/P24</f>
        <v>0</v>
      </c>
    </row>
    <row r="25" spans="1:20" ht="12.75">
      <c r="A25" t="s">
        <v>236</v>
      </c>
      <c r="B25" s="4">
        <v>53.161</v>
      </c>
      <c r="C25" s="2">
        <v>2390</v>
      </c>
      <c r="D25" s="2">
        <v>2380</v>
      </c>
      <c r="E25" s="2">
        <v>3381</v>
      </c>
      <c r="F25" s="2">
        <v>3446</v>
      </c>
      <c r="G25" s="2">
        <v>3781</v>
      </c>
      <c r="H25" s="2">
        <v>5195</v>
      </c>
      <c r="I25" s="2">
        <v>5508</v>
      </c>
      <c r="J25" s="2">
        <v>6211</v>
      </c>
      <c r="K25" s="2">
        <v>6764</v>
      </c>
      <c r="L25" s="2">
        <v>4886</v>
      </c>
      <c r="M25" s="2">
        <v>4023</v>
      </c>
      <c r="N25" s="11">
        <v>836</v>
      </c>
      <c r="O25" s="2">
        <v>5900</v>
      </c>
      <c r="P25" s="19">
        <v>5900</v>
      </c>
      <c r="Q25" s="2">
        <v>5900</v>
      </c>
      <c r="R25" s="19">
        <v>5900</v>
      </c>
      <c r="S25" s="19">
        <v>5900</v>
      </c>
      <c r="T25" s="75">
        <f>(S25-P25)/P25</f>
        <v>0</v>
      </c>
    </row>
    <row r="26" spans="1:20" ht="12.75" hidden="1">
      <c r="A26" t="s">
        <v>237</v>
      </c>
      <c r="B26" s="4">
        <v>53.17</v>
      </c>
      <c r="C26" s="2"/>
      <c r="D26" s="2"/>
      <c r="E26" s="2"/>
      <c r="F26" s="2">
        <v>150</v>
      </c>
      <c r="G26" s="2"/>
      <c r="H26" s="2"/>
      <c r="I26" s="2"/>
      <c r="J26" s="2"/>
      <c r="K26" s="2"/>
      <c r="L26" s="2"/>
      <c r="M26" s="2"/>
      <c r="O26" s="2"/>
      <c r="P26" s="19"/>
      <c r="Q26" s="2"/>
      <c r="R26" s="19"/>
      <c r="S26" s="19"/>
      <c r="T26" s="75"/>
    </row>
    <row r="27" spans="1:20" ht="12.75">
      <c r="A27" t="s">
        <v>238</v>
      </c>
      <c r="B27" s="4">
        <v>53.1702</v>
      </c>
      <c r="C27" s="2">
        <v>156</v>
      </c>
      <c r="D27" s="2">
        <v>98</v>
      </c>
      <c r="E27" s="2">
        <v>131</v>
      </c>
      <c r="F27" s="2">
        <v>115</v>
      </c>
      <c r="G27" s="2">
        <v>92</v>
      </c>
      <c r="H27" s="2">
        <v>80</v>
      </c>
      <c r="I27" s="2">
        <v>95</v>
      </c>
      <c r="J27" s="2">
        <v>74</v>
      </c>
      <c r="K27" s="2">
        <v>115</v>
      </c>
      <c r="L27" s="2">
        <v>144</v>
      </c>
      <c r="M27" s="2">
        <v>141</v>
      </c>
      <c r="N27" s="2">
        <v>108</v>
      </c>
      <c r="O27" s="2">
        <f aca="true" t="shared" si="1" ref="O27:O32">+N27/$N$3*12</f>
        <v>129.60000000000002</v>
      </c>
      <c r="P27" s="19">
        <v>200</v>
      </c>
      <c r="Q27" s="2">
        <v>200</v>
      </c>
      <c r="R27" s="19">
        <v>200</v>
      </c>
      <c r="S27" s="19">
        <v>200</v>
      </c>
      <c r="T27" s="75">
        <f aca="true" t="shared" si="2" ref="T27:T37">(S27-P27)/P27</f>
        <v>0</v>
      </c>
    </row>
    <row r="28" spans="1:20" ht="12.75">
      <c r="A28" t="s">
        <v>239</v>
      </c>
      <c r="B28" s="4">
        <v>53.1705</v>
      </c>
      <c r="C28" s="2">
        <v>3994</v>
      </c>
      <c r="D28" s="2">
        <v>2981</v>
      </c>
      <c r="E28" s="2">
        <v>10304</v>
      </c>
      <c r="F28" s="2">
        <v>2619</v>
      </c>
      <c r="G28" s="2">
        <v>2657</v>
      </c>
      <c r="H28" s="2">
        <v>2040</v>
      </c>
      <c r="I28" s="2">
        <v>2856</v>
      </c>
      <c r="J28" s="2">
        <v>3394</v>
      </c>
      <c r="K28" s="2">
        <v>2888</v>
      </c>
      <c r="L28" s="2">
        <v>2319</v>
      </c>
      <c r="M28" s="2">
        <v>2537</v>
      </c>
      <c r="N28" s="11">
        <v>1742</v>
      </c>
      <c r="O28" s="2">
        <v>2500</v>
      </c>
      <c r="P28" s="19">
        <v>2500</v>
      </c>
      <c r="Q28" s="2">
        <v>2500</v>
      </c>
      <c r="R28" s="19">
        <v>2500</v>
      </c>
      <c r="S28" s="19">
        <v>2500</v>
      </c>
      <c r="T28" s="75">
        <f t="shared" si="2"/>
        <v>0</v>
      </c>
    </row>
    <row r="29" spans="1:20" ht="12.75">
      <c r="A29" t="s">
        <v>233</v>
      </c>
      <c r="B29" s="4">
        <v>53.171</v>
      </c>
      <c r="C29" s="2">
        <v>1403</v>
      </c>
      <c r="D29" s="2">
        <v>1753</v>
      </c>
      <c r="E29" s="2">
        <v>1186</v>
      </c>
      <c r="F29" s="2">
        <v>1079</v>
      </c>
      <c r="G29" s="2">
        <v>937</v>
      </c>
      <c r="H29" s="2">
        <v>477</v>
      </c>
      <c r="I29" s="2">
        <v>693</v>
      </c>
      <c r="J29" s="2">
        <v>598</v>
      </c>
      <c r="K29" s="2">
        <v>504</v>
      </c>
      <c r="L29" s="2">
        <v>799</v>
      </c>
      <c r="M29" s="2">
        <v>215</v>
      </c>
      <c r="N29" s="11">
        <v>484</v>
      </c>
      <c r="O29" s="2">
        <f t="shared" si="1"/>
        <v>580.8</v>
      </c>
      <c r="P29" s="19">
        <v>600</v>
      </c>
      <c r="Q29" s="2">
        <v>600</v>
      </c>
      <c r="R29" s="19">
        <v>600</v>
      </c>
      <c r="S29" s="19">
        <v>600</v>
      </c>
      <c r="T29" s="75">
        <f t="shared" si="2"/>
        <v>0</v>
      </c>
    </row>
    <row r="30" spans="1:20" ht="12.75">
      <c r="A30" t="s">
        <v>240</v>
      </c>
      <c r="B30" s="4">
        <v>53.172</v>
      </c>
      <c r="C30" s="2">
        <v>5947</v>
      </c>
      <c r="D30" s="2">
        <v>2962</v>
      </c>
      <c r="E30" s="2">
        <v>7992</v>
      </c>
      <c r="F30" s="2">
        <v>2109</v>
      </c>
      <c r="G30" s="2">
        <v>588</v>
      </c>
      <c r="H30" s="2">
        <v>1406</v>
      </c>
      <c r="I30" s="2">
        <v>1201</v>
      </c>
      <c r="J30" s="2">
        <v>1049</v>
      </c>
      <c r="K30" s="2">
        <v>2651</v>
      </c>
      <c r="L30" s="2">
        <v>2810</v>
      </c>
      <c r="M30" s="2">
        <v>2693</v>
      </c>
      <c r="N30" s="11">
        <v>1103</v>
      </c>
      <c r="O30" s="2">
        <f t="shared" si="1"/>
        <v>1323.6</v>
      </c>
      <c r="P30" s="19">
        <v>2700</v>
      </c>
      <c r="Q30" s="2">
        <v>2700</v>
      </c>
      <c r="R30" s="19">
        <v>2700</v>
      </c>
      <c r="S30" s="19">
        <v>2700</v>
      </c>
      <c r="T30" s="75">
        <f t="shared" si="2"/>
        <v>0</v>
      </c>
    </row>
    <row r="31" spans="1:20" ht="12.75">
      <c r="A31" t="s">
        <v>837</v>
      </c>
      <c r="B31" s="4">
        <v>53.1737</v>
      </c>
      <c r="C31" s="2"/>
      <c r="D31" s="2"/>
      <c r="E31" s="2"/>
      <c r="F31" s="2"/>
      <c r="G31" s="2"/>
      <c r="H31" s="2"/>
      <c r="I31" s="2"/>
      <c r="J31" s="2"/>
      <c r="K31" s="2"/>
      <c r="L31" s="2">
        <v>167</v>
      </c>
      <c r="M31" s="2"/>
      <c r="N31" s="11"/>
      <c r="O31" s="2"/>
      <c r="P31" s="19"/>
      <c r="Q31" s="2"/>
      <c r="R31" s="19"/>
      <c r="S31" s="19"/>
      <c r="T31" s="75"/>
    </row>
    <row r="32" spans="1:20" ht="12.75">
      <c r="A32" t="s">
        <v>241</v>
      </c>
      <c r="B32" s="4">
        <v>53.174</v>
      </c>
      <c r="C32" s="2">
        <v>1531</v>
      </c>
      <c r="D32" s="2">
        <v>1534</v>
      </c>
      <c r="E32" s="2">
        <v>1379</v>
      </c>
      <c r="F32" s="2">
        <v>1486</v>
      </c>
      <c r="G32" s="2">
        <v>1711</v>
      </c>
      <c r="H32" s="2">
        <v>1927</v>
      </c>
      <c r="I32" s="2">
        <v>1983</v>
      </c>
      <c r="J32" s="2">
        <v>2289</v>
      </c>
      <c r="K32" s="2">
        <v>2140</v>
      </c>
      <c r="L32" s="2">
        <v>2448</v>
      </c>
      <c r="M32" s="2">
        <v>2929</v>
      </c>
      <c r="N32" s="11">
        <v>1571</v>
      </c>
      <c r="O32" s="2">
        <f t="shared" si="1"/>
        <v>1885.1999999999998</v>
      </c>
      <c r="P32" s="19">
        <v>2000</v>
      </c>
      <c r="Q32" s="2">
        <v>2500</v>
      </c>
      <c r="R32" s="19">
        <v>2500</v>
      </c>
      <c r="S32" s="19">
        <v>2500</v>
      </c>
      <c r="T32" s="75">
        <f t="shared" si="2"/>
        <v>0.25</v>
      </c>
    </row>
    <row r="33" spans="1:20" ht="12.75">
      <c r="A33" t="s">
        <v>242</v>
      </c>
      <c r="B33" s="4">
        <v>53.175</v>
      </c>
      <c r="C33" s="2">
        <v>1034</v>
      </c>
      <c r="D33" s="2">
        <v>2374</v>
      </c>
      <c r="E33" s="2">
        <v>1433</v>
      </c>
      <c r="F33" s="2">
        <v>793</v>
      </c>
      <c r="G33" s="2">
        <v>882</v>
      </c>
      <c r="H33" s="2">
        <v>1428</v>
      </c>
      <c r="I33" s="2">
        <v>1202</v>
      </c>
      <c r="J33" s="2">
        <v>976</v>
      </c>
      <c r="K33" s="2">
        <v>1789</v>
      </c>
      <c r="L33" s="2">
        <v>1342</v>
      </c>
      <c r="M33" s="2">
        <v>3913</v>
      </c>
      <c r="N33" s="11">
        <v>1149</v>
      </c>
      <c r="O33" s="2">
        <f t="shared" si="0"/>
        <v>1378.8000000000002</v>
      </c>
      <c r="P33" s="19">
        <v>1600</v>
      </c>
      <c r="Q33" s="2">
        <v>1600</v>
      </c>
      <c r="R33" s="19">
        <v>1600</v>
      </c>
      <c r="S33" s="19">
        <v>1600</v>
      </c>
      <c r="T33" s="75">
        <f t="shared" si="2"/>
        <v>0</v>
      </c>
    </row>
    <row r="34" spans="1:20" ht="12.75">
      <c r="A34" t="s">
        <v>243</v>
      </c>
      <c r="B34" s="4">
        <v>53.176</v>
      </c>
      <c r="C34" s="2">
        <v>136</v>
      </c>
      <c r="D34" s="2">
        <v>96</v>
      </c>
      <c r="E34" s="2">
        <v>160</v>
      </c>
      <c r="F34" s="2">
        <v>139</v>
      </c>
      <c r="G34" s="2">
        <v>106</v>
      </c>
      <c r="H34" s="2">
        <v>162</v>
      </c>
      <c r="I34" s="2">
        <v>141</v>
      </c>
      <c r="J34" s="2">
        <v>186</v>
      </c>
      <c r="K34" s="2">
        <v>220</v>
      </c>
      <c r="L34" s="2">
        <v>190</v>
      </c>
      <c r="M34" s="2">
        <v>361</v>
      </c>
      <c r="N34" s="11">
        <v>55</v>
      </c>
      <c r="O34" s="2">
        <f t="shared" si="0"/>
        <v>66</v>
      </c>
      <c r="P34" s="19">
        <v>160</v>
      </c>
      <c r="Q34" s="2">
        <v>160</v>
      </c>
      <c r="R34" s="19">
        <v>160</v>
      </c>
      <c r="S34" s="19">
        <v>160</v>
      </c>
      <c r="T34" s="75">
        <f t="shared" si="2"/>
        <v>0</v>
      </c>
    </row>
    <row r="35" spans="1:20" ht="12.75">
      <c r="A35" t="s">
        <v>244</v>
      </c>
      <c r="B35" s="4">
        <v>53.177</v>
      </c>
      <c r="C35" s="2">
        <v>1</v>
      </c>
      <c r="D35" s="2">
        <v>4</v>
      </c>
      <c r="E35" s="2">
        <v>395</v>
      </c>
      <c r="F35" s="2">
        <v>122</v>
      </c>
      <c r="G35" s="2">
        <v>71</v>
      </c>
      <c r="H35" s="2">
        <v>273</v>
      </c>
      <c r="I35" s="2"/>
      <c r="J35" s="2"/>
      <c r="K35" s="2">
        <v>957</v>
      </c>
      <c r="L35" s="2"/>
      <c r="M35" s="2"/>
      <c r="N35" s="11">
        <v>0</v>
      </c>
      <c r="O35" s="2">
        <f t="shared" si="0"/>
        <v>0</v>
      </c>
      <c r="P35" s="19">
        <v>500</v>
      </c>
      <c r="Q35" s="2">
        <v>500</v>
      </c>
      <c r="R35" s="19">
        <v>500</v>
      </c>
      <c r="S35" s="19">
        <v>500</v>
      </c>
      <c r="T35" s="75">
        <f t="shared" si="2"/>
        <v>0</v>
      </c>
    </row>
    <row r="36" spans="1:20" ht="12.75">
      <c r="A36" t="s">
        <v>165</v>
      </c>
      <c r="B36" s="4">
        <v>53.178</v>
      </c>
      <c r="C36" s="2">
        <v>309</v>
      </c>
      <c r="D36" s="2">
        <v>275</v>
      </c>
      <c r="E36" s="2">
        <v>161</v>
      </c>
      <c r="F36" s="2">
        <v>101</v>
      </c>
      <c r="G36" s="2">
        <v>63</v>
      </c>
      <c r="H36" s="2">
        <v>120</v>
      </c>
      <c r="I36" s="2">
        <v>153</v>
      </c>
      <c r="J36" s="2">
        <v>90</v>
      </c>
      <c r="K36" s="2">
        <v>261</v>
      </c>
      <c r="L36" s="2">
        <v>282</v>
      </c>
      <c r="M36" s="2">
        <v>71</v>
      </c>
      <c r="N36" s="11">
        <v>0</v>
      </c>
      <c r="O36" s="2">
        <f t="shared" si="0"/>
        <v>0</v>
      </c>
      <c r="P36" s="19">
        <v>200</v>
      </c>
      <c r="Q36" s="2">
        <v>200</v>
      </c>
      <c r="R36" s="19">
        <v>200</v>
      </c>
      <c r="S36" s="19">
        <v>200</v>
      </c>
      <c r="T36" s="75">
        <f t="shared" si="2"/>
        <v>0</v>
      </c>
    </row>
    <row r="37" spans="1:20" ht="12.75">
      <c r="A37" t="s">
        <v>153</v>
      </c>
      <c r="B37" s="4">
        <v>53.179</v>
      </c>
      <c r="C37" s="2">
        <v>1159</v>
      </c>
      <c r="D37" s="2">
        <v>2017</v>
      </c>
      <c r="E37" s="2">
        <v>2122</v>
      </c>
      <c r="F37" s="2">
        <v>941</v>
      </c>
      <c r="G37" s="2">
        <v>1122</v>
      </c>
      <c r="H37" s="2">
        <v>1213</v>
      </c>
      <c r="I37" s="2">
        <v>2132</v>
      </c>
      <c r="J37" s="2">
        <v>3039</v>
      </c>
      <c r="K37" s="2">
        <v>2938</v>
      </c>
      <c r="L37" s="2">
        <v>3731</v>
      </c>
      <c r="M37" s="2">
        <v>2027</v>
      </c>
      <c r="N37" s="11">
        <v>1430</v>
      </c>
      <c r="O37" s="2">
        <f t="shared" si="0"/>
        <v>1716</v>
      </c>
      <c r="P37" s="19">
        <v>2500</v>
      </c>
      <c r="Q37" s="2">
        <v>2500</v>
      </c>
      <c r="R37" s="19">
        <v>2500</v>
      </c>
      <c r="S37" s="19">
        <v>2500</v>
      </c>
      <c r="T37" s="75">
        <f t="shared" si="2"/>
        <v>0</v>
      </c>
    </row>
    <row r="38" spans="1:20" ht="12.75">
      <c r="A38" t="s">
        <v>215</v>
      </c>
      <c r="B38" s="4">
        <v>53.18</v>
      </c>
      <c r="C38" s="2">
        <v>4</v>
      </c>
      <c r="D38" s="2"/>
      <c r="E38" s="2"/>
      <c r="F38" s="2"/>
      <c r="G38" s="2"/>
      <c r="H38" s="2"/>
      <c r="I38" s="2">
        <v>341</v>
      </c>
      <c r="J38" s="2">
        <v>323</v>
      </c>
      <c r="K38" s="2">
        <v>511</v>
      </c>
      <c r="L38" s="2">
        <v>1349</v>
      </c>
      <c r="M38" s="2">
        <v>864</v>
      </c>
      <c r="N38" s="11">
        <v>639</v>
      </c>
      <c r="O38" s="2">
        <f t="shared" si="0"/>
        <v>766.8</v>
      </c>
      <c r="P38" s="19">
        <v>1500</v>
      </c>
      <c r="Q38" s="2">
        <v>1500</v>
      </c>
      <c r="R38" s="19">
        <v>1500</v>
      </c>
      <c r="S38" s="19">
        <v>1500</v>
      </c>
      <c r="T38" s="75"/>
    </row>
    <row r="39" spans="2:20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9"/>
      <c r="Q39" s="2"/>
      <c r="R39" s="19"/>
      <c r="S39" s="19"/>
      <c r="T39" s="75"/>
    </row>
    <row r="40" spans="1:20" ht="12.75" hidden="1">
      <c r="A40" t="s">
        <v>232</v>
      </c>
      <c r="B40" s="4">
        <v>54.21</v>
      </c>
      <c r="C40" s="2"/>
      <c r="D40" s="2"/>
      <c r="E40" s="2"/>
      <c r="F40" s="2">
        <v>9620</v>
      </c>
      <c r="G40" s="2"/>
      <c r="H40" s="2"/>
      <c r="I40" s="2"/>
      <c r="J40" s="2"/>
      <c r="K40" s="2"/>
      <c r="L40" s="2"/>
      <c r="M40" s="2"/>
      <c r="N40" s="2"/>
      <c r="O40" s="2"/>
      <c r="P40" s="19"/>
      <c r="Q40" s="2"/>
      <c r="R40" s="19"/>
      <c r="S40" s="19"/>
      <c r="T40" s="48"/>
    </row>
    <row r="41" spans="1:20" ht="12.75" hidden="1">
      <c r="A41" t="s">
        <v>355</v>
      </c>
      <c r="B41" s="4">
        <v>54.12</v>
      </c>
      <c r="O41" s="2"/>
      <c r="P41" s="34"/>
      <c r="Q41" s="18"/>
      <c r="R41" s="34"/>
      <c r="S41" s="34"/>
      <c r="T41" s="48"/>
    </row>
    <row r="42" spans="1:20" ht="12.75">
      <c r="A42" t="s">
        <v>335</v>
      </c>
      <c r="B42" s="4">
        <v>54.22</v>
      </c>
      <c r="C42" s="2"/>
      <c r="D42" s="2"/>
      <c r="E42" s="2"/>
      <c r="F42" s="2">
        <v>12000</v>
      </c>
      <c r="G42" s="2"/>
      <c r="H42" s="2"/>
      <c r="I42" s="2"/>
      <c r="J42" s="2"/>
      <c r="K42" s="2"/>
      <c r="L42" s="2">
        <v>518</v>
      </c>
      <c r="M42" s="2"/>
      <c r="N42" s="2"/>
      <c r="O42" s="2"/>
      <c r="P42" s="19"/>
      <c r="Q42" s="2"/>
      <c r="R42" s="19"/>
      <c r="S42" s="19"/>
      <c r="T42" s="48"/>
    </row>
    <row r="43" spans="1:20" ht="12.75" hidden="1">
      <c r="A43" t="s">
        <v>354</v>
      </c>
      <c r="B43" s="4">
        <v>54.25</v>
      </c>
      <c r="C43" s="2"/>
      <c r="D43" s="2"/>
      <c r="E43" s="2"/>
      <c r="F43" s="2">
        <v>1455</v>
      </c>
      <c r="G43" s="2">
        <v>1310</v>
      </c>
      <c r="H43" s="2"/>
      <c r="I43" s="2"/>
      <c r="J43" s="2"/>
      <c r="K43" s="2"/>
      <c r="L43" s="2"/>
      <c r="M43" s="2"/>
      <c r="N43" s="2"/>
      <c r="O43" s="2"/>
      <c r="P43" s="19"/>
      <c r="Q43" s="2"/>
      <c r="R43" s="19"/>
      <c r="S43" s="19"/>
      <c r="T43" s="48"/>
    </row>
    <row r="44" spans="1:20" ht="12.75" hidden="1">
      <c r="A44" t="s">
        <v>328</v>
      </c>
      <c r="B44" s="4">
        <v>54.24</v>
      </c>
      <c r="C44" s="2"/>
      <c r="D44" s="2"/>
      <c r="E44" s="2"/>
      <c r="F44" s="2">
        <v>954</v>
      </c>
      <c r="G44" s="2"/>
      <c r="H44" s="2"/>
      <c r="I44" s="2"/>
      <c r="J44" s="2"/>
      <c r="K44" s="2"/>
      <c r="L44" s="2"/>
      <c r="M44" s="2"/>
      <c r="N44" s="2"/>
      <c r="O44" s="2"/>
      <c r="Q44" s="2"/>
      <c r="R44" s="19"/>
      <c r="T44" s="48"/>
    </row>
    <row r="45" spans="2:20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9"/>
      <c r="S45" s="19"/>
      <c r="T45" s="48"/>
    </row>
    <row r="46" spans="1:20" ht="12.75">
      <c r="A46" s="6" t="s">
        <v>91</v>
      </c>
      <c r="B46" s="6"/>
      <c r="C46" s="8">
        <f>SUM(C7:C40)</f>
        <v>196321</v>
      </c>
      <c r="D46" s="8">
        <f>SUM(D7:D40)</f>
        <v>210643</v>
      </c>
      <c r="E46" s="8">
        <f>SUM(E7:E45)</f>
        <v>234035</v>
      </c>
      <c r="F46" s="8">
        <f>SUM(F7:F45)</f>
        <v>268760</v>
      </c>
      <c r="G46" s="8">
        <f>SUM(G7:G45)</f>
        <v>245811</v>
      </c>
      <c r="H46" s="8">
        <f>SUM(H7:H45)</f>
        <v>281842</v>
      </c>
      <c r="I46" s="8">
        <f>SUM(I7:I45)</f>
        <v>288339</v>
      </c>
      <c r="J46" s="8">
        <v>310406</v>
      </c>
      <c r="K46" s="8">
        <f>SUM(K7:K45)</f>
        <v>310946</v>
      </c>
      <c r="L46" s="8">
        <v>344259</v>
      </c>
      <c r="M46" s="8">
        <v>331102</v>
      </c>
      <c r="N46" s="8">
        <f aca="true" t="shared" si="3" ref="N46:S46">SUM(N7:N45)</f>
        <v>234646</v>
      </c>
      <c r="O46" s="8">
        <f t="shared" si="3"/>
        <v>288802.5999999999</v>
      </c>
      <c r="P46" s="8">
        <f t="shared" si="3"/>
        <v>336867.0855</v>
      </c>
      <c r="Q46" s="8">
        <f t="shared" si="3"/>
        <v>376067.3968</v>
      </c>
      <c r="R46" s="8">
        <f t="shared" si="3"/>
        <v>376067.3968</v>
      </c>
      <c r="S46" s="8">
        <f t="shared" si="3"/>
        <v>376067.3968</v>
      </c>
      <c r="T46" s="48">
        <f>(S46-P46)/P46</f>
        <v>0.11636729436423376</v>
      </c>
    </row>
    <row r="47" spans="3:19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19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0" t="s">
        <v>445</v>
      </c>
      <c r="Q48" s="20"/>
      <c r="R48" s="52">
        <f>Q46-R46</f>
        <v>0</v>
      </c>
      <c r="S48" s="2"/>
    </row>
    <row r="49" spans="16:18" ht="12.75">
      <c r="P49" s="20" t="s">
        <v>668</v>
      </c>
      <c r="Q49" s="20"/>
      <c r="R49" s="52">
        <f>P46-R46</f>
        <v>-39200.3113</v>
      </c>
    </row>
    <row r="50" spans="16:18" ht="12.75">
      <c r="P50" s="20" t="s">
        <v>397</v>
      </c>
      <c r="Q50" s="20"/>
      <c r="R50" s="52">
        <f>R46-S46</f>
        <v>0</v>
      </c>
    </row>
    <row r="51" spans="1:18" ht="12.75">
      <c r="A51" t="s">
        <v>988</v>
      </c>
      <c r="P51" s="20"/>
      <c r="Q51" s="20"/>
      <c r="R51" s="52"/>
    </row>
    <row r="52" ht="12.75">
      <c r="A52" s="30" t="s">
        <v>1002</v>
      </c>
    </row>
    <row r="53" ht="12.75">
      <c r="A53" t="s">
        <v>1003</v>
      </c>
    </row>
    <row r="57" spans="16:20" ht="12.75">
      <c r="P57" s="5"/>
      <c r="T57" s="2"/>
    </row>
    <row r="58" ht="12.75">
      <c r="T58" s="2"/>
    </row>
    <row r="61" ht="12.75">
      <c r="P61" s="5"/>
    </row>
    <row r="62" ht="12.75">
      <c r="P62" s="5"/>
    </row>
    <row r="64" ht="12.75">
      <c r="P64" s="5"/>
    </row>
    <row r="66" ht="12.75">
      <c r="P66" s="5"/>
    </row>
    <row r="67" ht="12.75">
      <c r="P67" s="5"/>
    </row>
    <row r="68" ht="12.75">
      <c r="P68" s="5"/>
    </row>
    <row r="72" ht="12.75">
      <c r="P72" s="5"/>
    </row>
    <row r="73" ht="12.75">
      <c r="P73" s="5"/>
    </row>
    <row r="74" ht="12.75">
      <c r="P74" s="5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1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V7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10" width="11.7109375" style="0" hidden="1" customWidth="1"/>
    <col min="11" max="13" width="11.7109375" style="0" customWidth="1"/>
    <col min="14" max="14" width="7.8515625" style="0" bestFit="1" customWidth="1"/>
    <col min="15" max="15" width="7.57421875" style="0" bestFit="1" customWidth="1"/>
    <col min="16" max="16" width="8.7109375" style="0" customWidth="1"/>
    <col min="18" max="18" width="10.7109375" style="0" bestFit="1" customWidth="1"/>
    <col min="20" max="20" width="11.140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434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624</v>
      </c>
      <c r="C7" s="2"/>
      <c r="D7" s="2"/>
      <c r="E7" s="2"/>
      <c r="F7" s="2"/>
      <c r="G7" s="2"/>
      <c r="H7" s="2"/>
      <c r="I7" s="2"/>
      <c r="J7" s="2"/>
      <c r="K7" s="2"/>
      <c r="L7" s="2">
        <v>4874</v>
      </c>
      <c r="M7" s="2"/>
      <c r="N7" s="2"/>
      <c r="O7" s="2"/>
      <c r="P7" s="2"/>
      <c r="Q7" s="2"/>
      <c r="R7" s="2"/>
      <c r="S7" s="2"/>
      <c r="T7" s="48"/>
    </row>
    <row r="8" spans="1:20" ht="11.25" customHeight="1">
      <c r="A8" s="15" t="s">
        <v>246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2"/>
      <c r="S8" s="2"/>
      <c r="T8" s="48"/>
    </row>
    <row r="9" spans="1:20" ht="12.75" hidden="1">
      <c r="A9" s="15" t="s">
        <v>366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8"/>
    </row>
    <row r="10" spans="1:20" ht="0.75" customHeight="1" hidden="1">
      <c r="A10" s="15" t="s">
        <v>262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1:20" ht="12.75" hidden="1">
      <c r="A11" s="15" t="s">
        <v>234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8"/>
    </row>
    <row r="12" spans="1:20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2"/>
      <c r="T12" s="48"/>
    </row>
    <row r="13" spans="1:20" ht="12.75">
      <c r="A13" s="15" t="s">
        <v>725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>
        <v>3589</v>
      </c>
      <c r="M13" s="2"/>
      <c r="N13" s="2"/>
      <c r="O13" s="2"/>
      <c r="P13" s="2">
        <v>1500</v>
      </c>
      <c r="Q13" s="2">
        <v>1500</v>
      </c>
      <c r="R13" s="2">
        <v>1500</v>
      </c>
      <c r="S13" s="2">
        <v>1500</v>
      </c>
      <c r="T13" s="48"/>
    </row>
    <row r="14" spans="1:20" ht="12.75">
      <c r="A14" s="15" t="s">
        <v>247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/>
      <c r="M14" s="2">
        <v>227</v>
      </c>
      <c r="N14" s="155">
        <v>0</v>
      </c>
      <c r="O14" s="2">
        <f aca="true" t="shared" si="0" ref="O14:O19">+N14/$N$3*12</f>
        <v>0</v>
      </c>
      <c r="P14" s="2"/>
      <c r="Q14" s="2"/>
      <c r="R14" s="2"/>
      <c r="S14" s="2"/>
      <c r="T14" s="75"/>
    </row>
    <row r="15" spans="1:20" ht="12.75">
      <c r="A15" s="15" t="s">
        <v>248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2">
        <v>33</v>
      </c>
      <c r="M15" s="2">
        <v>387</v>
      </c>
      <c r="N15" s="18">
        <v>32</v>
      </c>
      <c r="O15" s="2">
        <f t="shared" si="0"/>
        <v>64</v>
      </c>
      <c r="P15" s="2">
        <v>150</v>
      </c>
      <c r="Q15" s="2">
        <v>150</v>
      </c>
      <c r="R15" s="2">
        <v>150</v>
      </c>
      <c r="S15" s="2">
        <v>150</v>
      </c>
      <c r="T15" s="75"/>
    </row>
    <row r="16" spans="1:20" ht="12.75">
      <c r="A16" s="15" t="s">
        <v>243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2">
        <v>29</v>
      </c>
      <c r="M16" s="2">
        <v>23</v>
      </c>
      <c r="N16" s="18">
        <v>10</v>
      </c>
      <c r="O16" s="2">
        <f t="shared" si="0"/>
        <v>20</v>
      </c>
      <c r="P16" s="2">
        <v>50</v>
      </c>
      <c r="Q16" s="2">
        <v>50</v>
      </c>
      <c r="R16" s="2">
        <v>50</v>
      </c>
      <c r="S16" s="2">
        <v>50</v>
      </c>
      <c r="T16" s="75">
        <f>(S16-P16)/P16</f>
        <v>0</v>
      </c>
    </row>
    <row r="17" spans="1:20" ht="11.25" customHeight="1">
      <c r="A17" s="15" t="s">
        <v>244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L17" s="2">
        <v>156</v>
      </c>
      <c r="M17" s="2">
        <v>177</v>
      </c>
      <c r="N17" s="18"/>
      <c r="O17" s="2">
        <f t="shared" si="0"/>
        <v>0</v>
      </c>
      <c r="P17" s="2"/>
      <c r="Q17" s="2"/>
      <c r="R17" s="2"/>
      <c r="S17" s="2"/>
      <c r="T17" s="75"/>
    </row>
    <row r="18" spans="1:20" ht="12.75" hidden="1">
      <c r="A18" s="15" t="s">
        <v>165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2"/>
      <c r="N18" s="18"/>
      <c r="O18" s="2">
        <f t="shared" si="0"/>
        <v>0</v>
      </c>
      <c r="P18" s="2"/>
      <c r="Q18" s="2"/>
      <c r="R18" s="2"/>
      <c r="S18" s="2"/>
      <c r="T18" s="75"/>
    </row>
    <row r="19" spans="1:20" ht="12.75">
      <c r="A19" s="15" t="s">
        <v>153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2">
        <v>1498</v>
      </c>
      <c r="M19" s="2">
        <v>919</v>
      </c>
      <c r="N19" s="18">
        <v>444</v>
      </c>
      <c r="O19" s="2">
        <f t="shared" si="0"/>
        <v>888</v>
      </c>
      <c r="P19" s="2">
        <v>1200</v>
      </c>
      <c r="Q19" s="2">
        <v>1200</v>
      </c>
      <c r="R19" s="2">
        <v>1200</v>
      </c>
      <c r="S19" s="2">
        <v>1200</v>
      </c>
      <c r="T19" s="75">
        <f>(S19-P19)/P19</f>
        <v>0</v>
      </c>
    </row>
    <row r="20" spans="1:20" ht="12.75">
      <c r="A20" s="15" t="s">
        <v>262</v>
      </c>
      <c r="B20" s="4" t="s">
        <v>102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8"/>
      <c r="O20" s="2"/>
      <c r="P20" s="2"/>
      <c r="Q20" s="2"/>
      <c r="R20" s="2"/>
      <c r="S20" s="2"/>
      <c r="T20" s="75"/>
    </row>
    <row r="21" spans="1:22" ht="12.75">
      <c r="A21" s="15" t="s">
        <v>165</v>
      </c>
      <c r="K21">
        <v>54</v>
      </c>
      <c r="N21" s="18"/>
      <c r="T21" s="75"/>
      <c r="V21" t="s">
        <v>601</v>
      </c>
    </row>
    <row r="22" spans="1:21" ht="12.75">
      <c r="A22" t="s">
        <v>249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68905</v>
      </c>
      <c r="M22" s="2">
        <v>73288</v>
      </c>
      <c r="N22" s="18">
        <v>18322</v>
      </c>
      <c r="O22" s="2">
        <v>73288</v>
      </c>
      <c r="P22" s="2">
        <v>73288</v>
      </c>
      <c r="Q22" s="2">
        <v>73238</v>
      </c>
      <c r="R22" s="2">
        <v>73238</v>
      </c>
      <c r="S22" s="2">
        <v>73238</v>
      </c>
      <c r="T22" s="75">
        <f>(S22-P22)/P22</f>
        <v>-0.0006822399301386311</v>
      </c>
      <c r="U22" s="6"/>
    </row>
    <row r="23" spans="2:20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8"/>
      <c r="O23" s="2"/>
      <c r="P23" s="2"/>
      <c r="Q23" s="2"/>
      <c r="R23" s="2"/>
      <c r="S23" s="2"/>
      <c r="T23" s="75"/>
    </row>
    <row r="24" spans="1:21" ht="12.75">
      <c r="A24" t="s">
        <v>250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f>4886+1629</f>
        <v>6515</v>
      </c>
      <c r="M24" s="2">
        <v>4178</v>
      </c>
      <c r="N24" s="155">
        <v>0</v>
      </c>
      <c r="O24" s="2"/>
      <c r="P24" s="2"/>
      <c r="Q24" s="2"/>
      <c r="R24" s="2"/>
      <c r="S24" s="2"/>
      <c r="T24" s="75" t="e">
        <f>(S24-P24)/P24</f>
        <v>#DIV/0!</v>
      </c>
      <c r="U24" s="6"/>
    </row>
    <row r="25" spans="2:20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8"/>
    </row>
    <row r="26" spans="1:20" ht="12.75">
      <c r="A26" s="6" t="s">
        <v>91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S26">SUM(K8:K25)</f>
        <v>81652</v>
      </c>
      <c r="L26" s="8">
        <v>85599</v>
      </c>
      <c r="M26" s="8">
        <v>79199</v>
      </c>
      <c r="N26" s="8">
        <f t="shared" si="2"/>
        <v>18808</v>
      </c>
      <c r="O26" s="8">
        <f t="shared" si="2"/>
        <v>74260</v>
      </c>
      <c r="P26" s="8">
        <f t="shared" si="2"/>
        <v>76188</v>
      </c>
      <c r="Q26" s="8">
        <f t="shared" si="2"/>
        <v>76138</v>
      </c>
      <c r="R26" s="8">
        <f t="shared" si="2"/>
        <v>76138</v>
      </c>
      <c r="S26" s="8">
        <f t="shared" si="2"/>
        <v>76138</v>
      </c>
      <c r="T26" s="49">
        <f>(S26-P26)/P26</f>
        <v>-0.0006562713288181866</v>
      </c>
    </row>
    <row r="27" spans="3:20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8"/>
    </row>
    <row r="28" spans="3:20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0" t="s">
        <v>445</v>
      </c>
      <c r="Q28" s="20"/>
      <c r="R28" s="52">
        <f>Q26-R26</f>
        <v>0</v>
      </c>
      <c r="S28" s="2"/>
      <c r="T28" s="127">
        <f>S22-R22</f>
        <v>0</v>
      </c>
    </row>
    <row r="29" spans="16:20" ht="12.75">
      <c r="P29" s="20" t="s">
        <v>668</v>
      </c>
      <c r="Q29" s="20"/>
      <c r="R29" s="52">
        <f>P26-R26</f>
        <v>50</v>
      </c>
      <c r="T29" s="48"/>
    </row>
    <row r="30" spans="16:20" ht="12.75">
      <c r="P30" s="20" t="s">
        <v>397</v>
      </c>
      <c r="Q30" s="20"/>
      <c r="R30" s="52">
        <f>R26-S26</f>
        <v>0</v>
      </c>
      <c r="T30" s="48"/>
    </row>
    <row r="31" spans="1:20" ht="12.75">
      <c r="A31" s="42"/>
      <c r="T31" s="48"/>
    </row>
    <row r="32" ht="12.75">
      <c r="T32" s="48"/>
    </row>
    <row r="33" ht="12.75">
      <c r="T33" s="48"/>
    </row>
    <row r="34" ht="12.75">
      <c r="T34" s="48"/>
    </row>
    <row r="35" spans="1:20" ht="12.75">
      <c r="A35" s="6"/>
      <c r="N35" s="11"/>
      <c r="O35" s="5"/>
      <c r="T35" s="48"/>
    </row>
    <row r="36" spans="14:20" ht="12.75">
      <c r="N36" s="11"/>
      <c r="T36" s="48"/>
    </row>
    <row r="37" spans="5:20" ht="12.75">
      <c r="E37" s="63">
        <f>24228-2423</f>
        <v>21805</v>
      </c>
      <c r="N37" s="11"/>
      <c r="T37" s="48"/>
    </row>
    <row r="38" spans="5:20" ht="12.75">
      <c r="E38" s="63">
        <f>E37-((1800-500)*12)</f>
        <v>6205</v>
      </c>
      <c r="N38" s="11"/>
      <c r="T38" s="48"/>
    </row>
    <row r="39" spans="14:20" ht="12.75">
      <c r="N39" s="11"/>
      <c r="O39" s="5"/>
      <c r="T39" s="48"/>
    </row>
    <row r="40" spans="1:20" ht="12.75">
      <c r="A40" s="6"/>
      <c r="N40" s="11"/>
      <c r="O40" s="5"/>
      <c r="T40" s="48"/>
    </row>
    <row r="41" spans="14:20" ht="12.75">
      <c r="N41" s="11"/>
      <c r="O41" s="5"/>
      <c r="T41" s="48"/>
    </row>
    <row r="42" spans="14:20" ht="12.75">
      <c r="N42" s="11"/>
      <c r="O42" s="5"/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69" ht="12.75">
      <c r="T69" s="2"/>
    </row>
    <row r="70" ht="12.75">
      <c r="T70" s="2"/>
    </row>
    <row r="71" ht="12.75">
      <c r="T71" s="2"/>
    </row>
    <row r="72" ht="12.75">
      <c r="T72" s="2"/>
    </row>
    <row r="73" ht="12.75">
      <c r="T73" s="2"/>
    </row>
    <row r="74" ht="12.75">
      <c r="T74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U70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10" width="11.7109375" style="0" hidden="1" customWidth="1"/>
    <col min="11" max="14" width="11.7109375" style="0" customWidth="1"/>
    <col min="15" max="15" width="13.421875" style="0" bestFit="1" customWidth="1"/>
    <col min="16" max="16" width="10.28125" style="0" customWidth="1"/>
    <col min="17" max="17" width="9.00390625" style="0" customWidth="1"/>
    <col min="18" max="18" width="9.421875" style="0" bestFit="1" customWidth="1"/>
    <col min="19" max="19" width="8.710937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435</v>
      </c>
      <c r="N3" s="53">
        <v>10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/>
      <c r="Q4" s="80" t="s">
        <v>478</v>
      </c>
      <c r="R4" s="80" t="s">
        <v>392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80" t="s">
        <v>491</v>
      </c>
      <c r="R5" s="80" t="s">
        <v>609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625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L7" s="2"/>
      <c r="M7" s="2">
        <v>300</v>
      </c>
      <c r="O7" s="2">
        <f aca="true" t="shared" si="0" ref="O7:O13">+N7/$N$3*12</f>
        <v>0</v>
      </c>
      <c r="P7" s="2"/>
      <c r="Q7" s="2"/>
      <c r="R7" s="2"/>
      <c r="S7" s="2"/>
      <c r="T7" s="75" t="e">
        <f>(S7-P7)/P7</f>
        <v>#DIV/0!</v>
      </c>
    </row>
    <row r="8" spans="1:21" ht="12.75">
      <c r="A8" t="s">
        <v>553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f>54557+3048</f>
        <v>57605</v>
      </c>
      <c r="M8" s="2">
        <v>3888</v>
      </c>
      <c r="N8" s="2"/>
      <c r="O8" s="2"/>
      <c r="P8" s="2"/>
      <c r="Q8" s="2"/>
      <c r="R8" s="2"/>
      <c r="S8" s="2"/>
      <c r="T8" s="75" t="e">
        <f>(S8-P8)/P8</f>
        <v>#DIV/0!</v>
      </c>
      <c r="U8" t="s">
        <v>338</v>
      </c>
    </row>
    <row r="9" spans="1:20" ht="12.75" hidden="1">
      <c r="A9" t="s">
        <v>252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/>
      <c r="N9" s="2"/>
      <c r="O9" s="2">
        <f t="shared" si="0"/>
        <v>0</v>
      </c>
      <c r="P9" s="2"/>
      <c r="Q9" s="2"/>
      <c r="R9" s="2"/>
      <c r="S9" s="2"/>
      <c r="T9" s="75"/>
    </row>
    <row r="10" spans="1:20" ht="12.75">
      <c r="A10" t="s">
        <v>234</v>
      </c>
      <c r="B10" s="4">
        <v>52.2206</v>
      </c>
      <c r="I10">
        <v>10</v>
      </c>
      <c r="J10">
        <v>40</v>
      </c>
      <c r="K10">
        <v>350</v>
      </c>
      <c r="O10" s="2">
        <f t="shared" si="0"/>
        <v>0</v>
      </c>
      <c r="T10" s="76"/>
    </row>
    <row r="11" spans="1:21" ht="12.75">
      <c r="A11" t="s">
        <v>341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90</v>
      </c>
      <c r="M11" s="2"/>
      <c r="N11" s="2"/>
      <c r="O11" s="2">
        <f t="shared" si="0"/>
        <v>0</v>
      </c>
      <c r="P11" s="2"/>
      <c r="Q11" s="2"/>
      <c r="R11" s="2"/>
      <c r="S11" s="2"/>
      <c r="T11" s="75" t="e">
        <f>(S11-P11)/P11</f>
        <v>#DIV/0!</v>
      </c>
      <c r="U11" t="s">
        <v>338</v>
      </c>
    </row>
    <row r="12" spans="1:21" ht="12.75">
      <c r="A12" t="s">
        <v>367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/>
      <c r="N12" s="2"/>
      <c r="O12" s="2">
        <f t="shared" si="0"/>
        <v>0</v>
      </c>
      <c r="P12" s="2"/>
      <c r="Q12" s="2"/>
      <c r="R12" s="2"/>
      <c r="S12" s="2"/>
      <c r="T12" s="75" t="e">
        <f>(S12-P12)/P12</f>
        <v>#DIV/0!</v>
      </c>
      <c r="U12" t="s">
        <v>338</v>
      </c>
    </row>
    <row r="13" spans="1:20" ht="12.75">
      <c r="A13" t="s">
        <v>610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/>
      <c r="N13" s="2"/>
      <c r="O13" s="2">
        <f t="shared" si="0"/>
        <v>0</v>
      </c>
      <c r="T13" s="75"/>
    </row>
    <row r="14" spans="1:20" ht="12.75" hidden="1">
      <c r="A14" t="s">
        <v>165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/>
      <c r="N14" s="2"/>
      <c r="O14" s="2">
        <f>+N14/$N$3*12</f>
        <v>0</v>
      </c>
      <c r="P14" s="2"/>
      <c r="Q14" s="2"/>
      <c r="R14" s="2"/>
      <c r="S14" s="2"/>
      <c r="T14" s="75"/>
    </row>
    <row r="15" spans="1:21" ht="12.75">
      <c r="A15" t="s">
        <v>153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/>
      <c r="N15" s="2">
        <v>13</v>
      </c>
      <c r="O15" s="2">
        <f>+N15/$N$3*12</f>
        <v>15.600000000000001</v>
      </c>
      <c r="P15" s="2"/>
      <c r="Q15" s="2"/>
      <c r="R15" s="2"/>
      <c r="S15" s="2"/>
      <c r="T15" s="75" t="e">
        <f>(S15-P15)/P15</f>
        <v>#DIV/0!</v>
      </c>
      <c r="U15" t="s">
        <v>338</v>
      </c>
    </row>
    <row r="16" spans="2:20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</row>
    <row r="17" spans="1:21" ht="12.75">
      <c r="A17" t="s">
        <v>251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60000</v>
      </c>
      <c r="M17" s="2">
        <v>54000</v>
      </c>
      <c r="N17" s="2">
        <v>20000</v>
      </c>
      <c r="O17" s="2">
        <v>40000</v>
      </c>
      <c r="P17" s="2">
        <v>40000</v>
      </c>
      <c r="Q17" s="2">
        <v>34000</v>
      </c>
      <c r="R17" s="2">
        <v>34000</v>
      </c>
      <c r="S17" s="2">
        <v>34000</v>
      </c>
      <c r="T17" s="75">
        <f>(S17-P17)/P17</f>
        <v>-0.15</v>
      </c>
      <c r="U17" s="6"/>
    </row>
    <row r="18" spans="1:20" ht="12.75" hidden="1">
      <c r="A18" t="s">
        <v>573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48"/>
    </row>
    <row r="19" spans="1:20" ht="12.75">
      <c r="A19" t="s">
        <v>846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>
        <v>15409</v>
      </c>
      <c r="M19" s="2"/>
      <c r="N19" s="2"/>
      <c r="O19" s="2"/>
      <c r="P19" s="2"/>
      <c r="Q19" s="2"/>
      <c r="R19" s="2"/>
      <c r="S19" s="2"/>
      <c r="T19" s="48"/>
    </row>
    <row r="20" spans="1:21" ht="12.75" hidden="1">
      <c r="A20" t="s">
        <v>845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8"/>
      <c r="U20" t="s">
        <v>463</v>
      </c>
    </row>
    <row r="21" spans="1:20" ht="12.75" hidden="1">
      <c r="A21" t="s">
        <v>663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2"/>
      <c r="S21" s="2"/>
      <c r="T21" s="48"/>
    </row>
    <row r="22" spans="2:20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8"/>
    </row>
    <row r="23" spans="1:20" ht="12.75">
      <c r="A23" s="6" t="s">
        <v>91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S23">SUM(K7:K22)</f>
        <v>146685</v>
      </c>
      <c r="L23" s="8">
        <v>134451</v>
      </c>
      <c r="M23" s="8">
        <v>58188</v>
      </c>
      <c r="N23" s="8">
        <f t="shared" si="1"/>
        <v>20013</v>
      </c>
      <c r="O23" s="8">
        <f t="shared" si="1"/>
        <v>40015.6</v>
      </c>
      <c r="P23" s="8">
        <f t="shared" si="1"/>
        <v>40000</v>
      </c>
      <c r="Q23" s="8">
        <f t="shared" si="1"/>
        <v>34000</v>
      </c>
      <c r="R23" s="8">
        <f t="shared" si="1"/>
        <v>34000</v>
      </c>
      <c r="S23" s="8">
        <f t="shared" si="1"/>
        <v>34000</v>
      </c>
      <c r="T23" s="49">
        <f>(S23-P23)/P23</f>
        <v>-0.15</v>
      </c>
    </row>
    <row r="24" spans="3:20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8"/>
    </row>
    <row r="25" spans="3:20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0" t="s">
        <v>445</v>
      </c>
      <c r="Q25" s="20"/>
      <c r="R25" s="52">
        <f>Q23-R23</f>
        <v>0</v>
      </c>
      <c r="S25" s="2"/>
      <c r="T25" s="48"/>
    </row>
    <row r="26" spans="16:20" ht="12.75">
      <c r="P26" s="20" t="s">
        <v>668</v>
      </c>
      <c r="Q26" s="20"/>
      <c r="R26" s="52">
        <f>P23-R23</f>
        <v>6000</v>
      </c>
      <c r="T26" s="48"/>
    </row>
    <row r="27" spans="16:20" ht="12.75">
      <c r="P27" s="20" t="s">
        <v>397</v>
      </c>
      <c r="Q27" s="20"/>
      <c r="R27" s="52">
        <f>R23-S23</f>
        <v>0</v>
      </c>
      <c r="T27" s="48"/>
    </row>
    <row r="28" spans="1:20" ht="12.75">
      <c r="A28" t="s">
        <v>626</v>
      </c>
      <c r="B28">
        <v>33.4119</v>
      </c>
      <c r="I28">
        <v>32860</v>
      </c>
      <c r="J28" s="39">
        <v>44323.5</v>
      </c>
      <c r="K28" s="39">
        <v>53607</v>
      </c>
      <c r="L28" s="39">
        <v>38248</v>
      </c>
      <c r="M28" s="39"/>
      <c r="T28" s="48"/>
    </row>
    <row r="29" ht="12.75">
      <c r="T29" s="48"/>
    </row>
    <row r="30" spans="1:20" ht="12.75">
      <c r="A30" s="20" t="s">
        <v>48</v>
      </c>
      <c r="T30" s="48"/>
    </row>
    <row r="31" spans="1:20" ht="12.75">
      <c r="A31" s="6"/>
      <c r="O31" s="4"/>
      <c r="P31" s="134"/>
      <c r="T31" s="48"/>
    </row>
    <row r="32" ht="12.75">
      <c r="T32" s="48"/>
    </row>
    <row r="33" spans="1:20" ht="12.75">
      <c r="A33" s="6"/>
      <c r="T33" s="48"/>
    </row>
    <row r="34" ht="12.75">
      <c r="T34" s="48"/>
    </row>
    <row r="35" ht="12.75">
      <c r="T35" s="48"/>
    </row>
    <row r="36" spans="15:20" ht="12.75">
      <c r="O36" s="5"/>
      <c r="P36" s="5"/>
      <c r="T36" s="48"/>
    </row>
    <row r="37" ht="12.75">
      <c r="T37" s="48"/>
    </row>
    <row r="38" ht="12.75">
      <c r="T38" s="48"/>
    </row>
    <row r="39" spans="16:20" ht="12.75">
      <c r="P39" s="5"/>
      <c r="T39" s="48"/>
    </row>
    <row r="40" spans="15:20" ht="12.75">
      <c r="O40" s="5"/>
      <c r="P40" s="5"/>
      <c r="T40" s="48"/>
    </row>
    <row r="41" spans="15:20" ht="12.75">
      <c r="O41" s="5"/>
      <c r="P41" s="5"/>
      <c r="T41" s="48"/>
    </row>
    <row r="42" spans="15:20" ht="12.75">
      <c r="O42" s="5"/>
      <c r="P42" s="5"/>
      <c r="T42" s="48"/>
    </row>
    <row r="43" ht="12.75">
      <c r="T43" s="48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U86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6.8515625" style="0" hidden="1" customWidth="1"/>
    <col min="10" max="10" width="8.0039062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7109375" style="0" bestFit="1" customWidth="1"/>
    <col min="20" max="20" width="9.421875" style="0" bestFit="1" customWidth="1"/>
    <col min="21" max="21" width="6.8515625" style="0" bestFit="1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436</v>
      </c>
      <c r="N3" s="53">
        <v>11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604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52182</v>
      </c>
      <c r="M7" s="2">
        <v>46921</v>
      </c>
      <c r="N7" s="2">
        <v>27472</v>
      </c>
      <c r="O7" s="2">
        <f aca="true" t="shared" si="0" ref="O7:O12">+N7/$N$3*12</f>
        <v>29969.454545454544</v>
      </c>
      <c r="P7" s="2"/>
      <c r="Q7" s="2">
        <v>34944</v>
      </c>
      <c r="R7" s="140">
        <v>34944</v>
      </c>
      <c r="S7" s="140">
        <v>34944</v>
      </c>
      <c r="T7" s="75"/>
      <c r="U7" t="s">
        <v>68</v>
      </c>
    </row>
    <row r="8" spans="1:21" ht="12.75">
      <c r="A8" t="s">
        <v>66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13221</v>
      </c>
      <c r="O8" s="2">
        <f t="shared" si="0"/>
        <v>14422.909090909092</v>
      </c>
      <c r="P8" s="2"/>
      <c r="Q8" s="2">
        <v>16258</v>
      </c>
      <c r="R8" s="2">
        <v>14758</v>
      </c>
      <c r="S8" s="2">
        <v>14758</v>
      </c>
      <c r="T8" s="75"/>
      <c r="U8" t="s">
        <v>904</v>
      </c>
    </row>
    <row r="9" spans="1:21" ht="12.75">
      <c r="A9" t="s">
        <v>895</v>
      </c>
      <c r="B9" s="4">
        <v>51.12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7311</v>
      </c>
      <c r="O9" s="2">
        <f t="shared" si="0"/>
        <v>7975.636363636364</v>
      </c>
      <c r="P9" s="2"/>
      <c r="Q9" s="2">
        <v>10500</v>
      </c>
      <c r="R9" s="2">
        <f>740*12</f>
        <v>8880</v>
      </c>
      <c r="S9" s="2">
        <f>740*12</f>
        <v>8880</v>
      </c>
      <c r="T9" s="75"/>
      <c r="U9" t="s">
        <v>464</v>
      </c>
    </row>
    <row r="10" spans="1:21" ht="12.75">
      <c r="A10" t="s">
        <v>448</v>
      </c>
      <c r="B10" s="4">
        <v>51.21</v>
      </c>
      <c r="C10" s="2">
        <v>2184</v>
      </c>
      <c r="D10" s="2">
        <v>2518</v>
      </c>
      <c r="E10" s="2">
        <v>3182</v>
      </c>
      <c r="F10" s="2">
        <v>2840</v>
      </c>
      <c r="G10" s="2">
        <v>3023</v>
      </c>
      <c r="H10" s="2">
        <v>3161</v>
      </c>
      <c r="I10" s="2">
        <v>3184</v>
      </c>
      <c r="J10" s="2">
        <v>3398</v>
      </c>
      <c r="K10" s="2">
        <v>4011</v>
      </c>
      <c r="L10" s="2">
        <v>4690</v>
      </c>
      <c r="M10" s="2">
        <v>4555</v>
      </c>
      <c r="N10" s="2">
        <v>6939</v>
      </c>
      <c r="O10" s="2">
        <f t="shared" si="0"/>
        <v>7569.818181818182</v>
      </c>
      <c r="P10" s="28"/>
      <c r="Q10" s="28">
        <v>5698</v>
      </c>
      <c r="R10" s="28">
        <f>4960+246*3</f>
        <v>5698</v>
      </c>
      <c r="S10" s="28">
        <v>5698</v>
      </c>
      <c r="T10" s="75"/>
      <c r="U10" t="s">
        <v>531</v>
      </c>
    </row>
    <row r="11" spans="1:20" ht="12.75">
      <c r="A11" t="s">
        <v>113</v>
      </c>
      <c r="B11" s="4">
        <v>51.22</v>
      </c>
      <c r="C11" s="2">
        <v>2711</v>
      </c>
      <c r="D11" s="2">
        <v>3092</v>
      </c>
      <c r="E11" s="2">
        <v>3255</v>
      </c>
      <c r="F11" s="2">
        <v>3436</v>
      </c>
      <c r="G11" s="2">
        <v>3483</v>
      </c>
      <c r="H11" s="2">
        <v>3564</v>
      </c>
      <c r="I11" s="2">
        <v>3630</v>
      </c>
      <c r="J11" s="2">
        <v>3878</v>
      </c>
      <c r="K11" s="2">
        <v>4369</v>
      </c>
      <c r="L11" s="2">
        <v>4142</v>
      </c>
      <c r="M11" s="2">
        <v>3701</v>
      </c>
      <c r="N11" s="2">
        <v>3585</v>
      </c>
      <c r="O11" s="2">
        <f t="shared" si="0"/>
        <v>3910.909090909091</v>
      </c>
      <c r="P11" s="2"/>
      <c r="Q11" s="2">
        <f>(Q7+Q8+Q9)*0.0765</f>
        <v>4720.2029999999995</v>
      </c>
      <c r="R11" s="2">
        <f>(R7+R8+R9)*0.0765</f>
        <v>4481.523</v>
      </c>
      <c r="S11" s="2">
        <f>(S7+S8+S9)*0.0765</f>
        <v>4481.523</v>
      </c>
      <c r="T11" s="75"/>
    </row>
    <row r="12" spans="1:20" ht="12.75">
      <c r="A12" t="s">
        <v>127</v>
      </c>
      <c r="B12" s="4">
        <v>51.24</v>
      </c>
      <c r="C12" s="2">
        <v>740</v>
      </c>
      <c r="D12" s="2">
        <v>839</v>
      </c>
      <c r="E12" s="2">
        <v>889</v>
      </c>
      <c r="F12" s="2">
        <v>920</v>
      </c>
      <c r="G12" s="2">
        <v>948</v>
      </c>
      <c r="H12" s="2">
        <v>976</v>
      </c>
      <c r="I12" s="2">
        <v>1360</v>
      </c>
      <c r="J12" s="2">
        <v>1072</v>
      </c>
      <c r="K12" s="2">
        <v>1158</v>
      </c>
      <c r="L12" s="2">
        <v>1215</v>
      </c>
      <c r="M12" s="2">
        <v>415</v>
      </c>
      <c r="N12" s="2"/>
      <c r="O12" s="2">
        <f t="shared" si="0"/>
        <v>0</v>
      </c>
      <c r="P12" s="19"/>
      <c r="Q12" s="2"/>
      <c r="R12" s="19"/>
      <c r="S12" s="19"/>
      <c r="T12" s="75"/>
    </row>
    <row r="13" spans="1:20" ht="12.75">
      <c r="A13" t="s">
        <v>646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8580</v>
      </c>
      <c r="O13" s="2">
        <v>8580</v>
      </c>
      <c r="P13" s="19"/>
      <c r="Q13" s="2"/>
      <c r="R13" s="19"/>
      <c r="S13" s="19"/>
      <c r="T13" s="75"/>
    </row>
    <row r="14" spans="2:20" ht="12.75">
      <c r="B14" s="4"/>
      <c r="C14" s="2"/>
      <c r="D14" s="2"/>
      <c r="E14" s="2"/>
      <c r="F14" s="2"/>
      <c r="G14" s="2"/>
      <c r="H14" s="2"/>
      <c r="I14" s="2">
        <v>25</v>
      </c>
      <c r="J14" s="2"/>
      <c r="K14" s="2"/>
      <c r="L14" s="2"/>
      <c r="M14" s="2"/>
      <c r="N14" s="2"/>
      <c r="O14" s="2"/>
      <c r="P14" s="13"/>
      <c r="Q14" s="2"/>
      <c r="R14" s="13"/>
      <c r="S14" s="13"/>
      <c r="T14" s="75"/>
    </row>
    <row r="15" spans="1:20" ht="12.75" hidden="1">
      <c r="A15" t="s">
        <v>363</v>
      </c>
      <c r="B15" s="4">
        <v>52.21</v>
      </c>
      <c r="C15" s="2"/>
      <c r="D15" s="2"/>
      <c r="E15" s="2"/>
      <c r="F15" s="2">
        <v>201</v>
      </c>
      <c r="G15" s="2"/>
      <c r="H15" s="2"/>
      <c r="I15" s="2"/>
      <c r="J15" s="2"/>
      <c r="K15" s="2"/>
      <c r="L15" s="2"/>
      <c r="M15" s="2"/>
      <c r="N15" s="2"/>
      <c r="O15" s="2"/>
      <c r="P15" s="19"/>
      <c r="Q15" s="2"/>
      <c r="R15" s="19"/>
      <c r="S15" s="19"/>
      <c r="T15" s="75"/>
    </row>
    <row r="16" spans="1:21" ht="12.75">
      <c r="A16" t="s">
        <v>170</v>
      </c>
      <c r="B16" s="4">
        <v>52.211</v>
      </c>
      <c r="C16" s="2"/>
      <c r="D16" s="2"/>
      <c r="E16" s="2">
        <v>694</v>
      </c>
      <c r="F16" s="2">
        <v>202</v>
      </c>
      <c r="G16" s="2">
        <v>339</v>
      </c>
      <c r="H16" s="2">
        <v>366</v>
      </c>
      <c r="I16" s="2">
        <f>376+34</f>
        <v>410</v>
      </c>
      <c r="J16" s="2">
        <v>403</v>
      </c>
      <c r="K16" s="2">
        <v>463</v>
      </c>
      <c r="L16" s="2">
        <v>472</v>
      </c>
      <c r="M16" s="2">
        <v>490</v>
      </c>
      <c r="N16" s="2">
        <v>357</v>
      </c>
      <c r="O16" s="2">
        <f>+N16/$N$3*12</f>
        <v>389.45454545454544</v>
      </c>
      <c r="P16" s="2"/>
      <c r="Q16" s="2">
        <v>480</v>
      </c>
      <c r="R16" s="2">
        <v>480</v>
      </c>
      <c r="S16" s="2">
        <v>480</v>
      </c>
      <c r="T16" s="75"/>
      <c r="U16" s="15"/>
    </row>
    <row r="17" spans="1:20" ht="12.75" hidden="1">
      <c r="A17" t="s">
        <v>254</v>
      </c>
      <c r="B17" s="4">
        <v>52.2201</v>
      </c>
      <c r="C17" s="2"/>
      <c r="D17" s="2"/>
      <c r="E17" s="2">
        <v>180</v>
      </c>
      <c r="F17" s="2">
        <v>195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</row>
    <row r="18" spans="1:21" ht="12.75">
      <c r="A18" t="s">
        <v>115</v>
      </c>
      <c r="B18" s="4">
        <v>52.32</v>
      </c>
      <c r="C18" s="2">
        <v>222</v>
      </c>
      <c r="D18" s="2">
        <v>333</v>
      </c>
      <c r="E18" s="2">
        <v>464</v>
      </c>
      <c r="F18" s="2">
        <v>910</v>
      </c>
      <c r="G18" s="2">
        <v>931</v>
      </c>
      <c r="H18" s="2">
        <v>622</v>
      </c>
      <c r="I18" s="2">
        <v>770</v>
      </c>
      <c r="J18" s="2">
        <v>699</v>
      </c>
      <c r="K18" s="2">
        <v>732</v>
      </c>
      <c r="L18" s="2">
        <v>864</v>
      </c>
      <c r="M18" s="2">
        <v>684</v>
      </c>
      <c r="N18" s="2">
        <v>1298</v>
      </c>
      <c r="O18" s="2">
        <f>+N18/$N$3*12</f>
        <v>1416</v>
      </c>
      <c r="P18" s="2"/>
      <c r="Q18" s="2">
        <v>1600</v>
      </c>
      <c r="R18" s="2">
        <v>1600</v>
      </c>
      <c r="S18" s="2">
        <v>1600</v>
      </c>
      <c r="T18" s="75"/>
      <c r="U18" s="30"/>
    </row>
    <row r="19" spans="1:20" ht="12.75">
      <c r="A19" t="s">
        <v>116</v>
      </c>
      <c r="B19" s="4">
        <v>52.321</v>
      </c>
      <c r="C19" s="2">
        <v>81</v>
      </c>
      <c r="D19" s="2">
        <v>45</v>
      </c>
      <c r="E19" s="2">
        <v>68</v>
      </c>
      <c r="F19" s="2">
        <v>68</v>
      </c>
      <c r="G19" s="2">
        <v>105</v>
      </c>
      <c r="H19" s="2">
        <v>37</v>
      </c>
      <c r="I19" s="2">
        <v>37</v>
      </c>
      <c r="J19" s="2"/>
      <c r="K19" s="2"/>
      <c r="L19" s="2">
        <v>42</v>
      </c>
      <c r="M19" s="2"/>
      <c r="N19" s="2">
        <v>112</v>
      </c>
      <c r="O19" s="2">
        <v>112</v>
      </c>
      <c r="P19" s="2"/>
      <c r="Q19" s="2">
        <v>100</v>
      </c>
      <c r="R19" s="2">
        <v>100</v>
      </c>
      <c r="S19" s="2">
        <v>100</v>
      </c>
      <c r="T19" s="75"/>
    </row>
    <row r="20" spans="1:21" ht="12.75">
      <c r="A20" t="s">
        <v>117</v>
      </c>
      <c r="B20" s="4">
        <v>52.35</v>
      </c>
      <c r="C20" s="2">
        <v>603</v>
      </c>
      <c r="D20" s="2">
        <v>961</v>
      </c>
      <c r="E20" s="2">
        <v>623</v>
      </c>
      <c r="F20" s="2">
        <v>940</v>
      </c>
      <c r="G20" s="2">
        <v>967</v>
      </c>
      <c r="H20" s="2">
        <v>481</v>
      </c>
      <c r="I20" s="2">
        <v>241</v>
      </c>
      <c r="J20" s="2">
        <v>167</v>
      </c>
      <c r="K20" s="2">
        <v>542</v>
      </c>
      <c r="L20" s="2"/>
      <c r="M20" s="2"/>
      <c r="N20" s="2">
        <v>388</v>
      </c>
      <c r="O20" s="2">
        <v>500</v>
      </c>
      <c r="P20" s="2"/>
      <c r="Q20" s="2">
        <v>500</v>
      </c>
      <c r="R20" s="2">
        <v>500</v>
      </c>
      <c r="S20" s="2">
        <v>500</v>
      </c>
      <c r="T20" s="75"/>
      <c r="U20" s="30"/>
    </row>
    <row r="21" spans="1:21" ht="12.75">
      <c r="A21" t="s">
        <v>187</v>
      </c>
      <c r="B21" s="4">
        <v>52.3602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150</v>
      </c>
      <c r="N21" s="2">
        <v>150</v>
      </c>
      <c r="O21" s="2">
        <v>150</v>
      </c>
      <c r="P21" s="2"/>
      <c r="Q21" s="2">
        <v>150</v>
      </c>
      <c r="R21" s="2">
        <v>150</v>
      </c>
      <c r="S21" s="2">
        <v>150</v>
      </c>
      <c r="T21" s="75"/>
      <c r="U21" s="30" t="s">
        <v>541</v>
      </c>
    </row>
    <row r="22" spans="2:20" ht="12.75">
      <c r="B22" s="4"/>
      <c r="C22" s="2"/>
      <c r="D22" s="2"/>
      <c r="E22" s="2"/>
      <c r="F22" s="2"/>
      <c r="G22" s="2"/>
      <c r="H22" s="2"/>
      <c r="I22" s="2">
        <v>716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75"/>
    </row>
    <row r="23" spans="1:20" ht="12.75">
      <c r="A23" t="s">
        <v>122</v>
      </c>
      <c r="B23" s="4">
        <v>53.12</v>
      </c>
      <c r="C23" s="2">
        <v>6701</v>
      </c>
      <c r="D23" s="2">
        <v>6238</v>
      </c>
      <c r="E23" s="2">
        <v>6325</v>
      </c>
      <c r="F23" s="2">
        <v>5755</v>
      </c>
      <c r="G23" s="2">
        <v>6704</v>
      </c>
      <c r="H23" s="2">
        <v>7029</v>
      </c>
      <c r="I23" s="2">
        <v>7461</v>
      </c>
      <c r="J23" s="2">
        <v>8287</v>
      </c>
      <c r="K23" s="2">
        <v>8318</v>
      </c>
      <c r="L23" s="2">
        <v>9392</v>
      </c>
      <c r="M23" s="2">
        <v>10019</v>
      </c>
      <c r="N23" s="2">
        <v>8400</v>
      </c>
      <c r="O23" s="2">
        <f>+N23/$N$3*12</f>
        <v>9163.636363636364</v>
      </c>
      <c r="P23" s="2"/>
      <c r="Q23" s="2">
        <v>9000</v>
      </c>
      <c r="R23" s="2">
        <v>9000</v>
      </c>
      <c r="S23" s="2">
        <v>9000</v>
      </c>
      <c r="T23" s="75"/>
    </row>
    <row r="24" spans="1:20" ht="12.75" hidden="1">
      <c r="A24" t="s">
        <v>886</v>
      </c>
      <c r="B24" s="4">
        <v>53.132</v>
      </c>
      <c r="C24" s="2"/>
      <c r="D24" s="2"/>
      <c r="E24" s="2"/>
      <c r="F24" s="2"/>
      <c r="G24" s="2"/>
      <c r="H24" s="2"/>
      <c r="I24" s="2"/>
      <c r="J24" s="2"/>
      <c r="K24" s="2"/>
      <c r="L24" s="2">
        <v>35</v>
      </c>
      <c r="M24" s="2"/>
      <c r="O24" s="2">
        <f>+N24/$N$3*12</f>
        <v>0</v>
      </c>
      <c r="P24" s="2"/>
      <c r="Q24" s="2"/>
      <c r="R24" s="2"/>
      <c r="S24" s="2"/>
      <c r="T24" s="75"/>
    </row>
    <row r="25" spans="1:20" ht="12.75">
      <c r="A25" t="s">
        <v>255</v>
      </c>
      <c r="B25" s="4">
        <v>53.1322</v>
      </c>
      <c r="C25" s="2">
        <v>22224</v>
      </c>
      <c r="D25" s="2">
        <v>21899</v>
      </c>
      <c r="E25" s="2">
        <v>22910</v>
      </c>
      <c r="F25" s="2">
        <v>19357</v>
      </c>
      <c r="G25" s="2">
        <v>20274</v>
      </c>
      <c r="H25" s="2">
        <v>21921</v>
      </c>
      <c r="I25" s="2">
        <v>21590</v>
      </c>
      <c r="J25" s="2">
        <v>18172</v>
      </c>
      <c r="K25" s="2">
        <v>19026</v>
      </c>
      <c r="L25" s="2">
        <v>19091</v>
      </c>
      <c r="M25" s="2">
        <v>16609</v>
      </c>
      <c r="N25" s="2">
        <v>31147</v>
      </c>
      <c r="O25" s="2">
        <f>+N25/$N$3*12</f>
        <v>33978.545454545456</v>
      </c>
      <c r="P25" s="2"/>
      <c r="Q25" s="2">
        <v>34000</v>
      </c>
      <c r="R25" s="2">
        <v>34000</v>
      </c>
      <c r="S25" s="2">
        <v>34000</v>
      </c>
      <c r="T25" s="75"/>
    </row>
    <row r="26" spans="1:20" ht="12.75">
      <c r="A26" t="s">
        <v>256</v>
      </c>
      <c r="B26" s="4">
        <v>53.1701</v>
      </c>
      <c r="C26" s="2">
        <v>848</v>
      </c>
      <c r="D26" s="2">
        <v>852</v>
      </c>
      <c r="E26" s="2">
        <v>760</v>
      </c>
      <c r="F26" s="2">
        <v>802</v>
      </c>
      <c r="G26" s="2">
        <v>859</v>
      </c>
      <c r="H26" s="2">
        <v>918</v>
      </c>
      <c r="I26" s="2">
        <v>1187</v>
      </c>
      <c r="J26" s="2">
        <v>1209</v>
      </c>
      <c r="K26" s="2">
        <v>1349</v>
      </c>
      <c r="L26" s="2">
        <v>1371</v>
      </c>
      <c r="M26" s="2">
        <v>1449</v>
      </c>
      <c r="N26" s="2">
        <v>119</v>
      </c>
      <c r="O26" s="2">
        <v>120</v>
      </c>
      <c r="P26" s="2"/>
      <c r="Q26" s="2"/>
      <c r="R26" s="2"/>
      <c r="S26" s="2"/>
      <c r="T26" s="75"/>
    </row>
    <row r="27" spans="1:20" ht="12.75">
      <c r="A27" t="s">
        <v>238</v>
      </c>
      <c r="B27" s="4">
        <v>53.1702</v>
      </c>
      <c r="C27" s="2">
        <v>221</v>
      </c>
      <c r="D27" s="2">
        <v>37</v>
      </c>
      <c r="E27" s="2">
        <v>170</v>
      </c>
      <c r="F27" s="2">
        <v>241</v>
      </c>
      <c r="G27" s="2">
        <v>32</v>
      </c>
      <c r="H27" s="2">
        <v>87</v>
      </c>
      <c r="I27" s="2">
        <v>34</v>
      </c>
      <c r="J27" s="2">
        <v>45</v>
      </c>
      <c r="K27" s="2"/>
      <c r="L27" s="2">
        <v>25</v>
      </c>
      <c r="M27" s="2">
        <v>125</v>
      </c>
      <c r="N27" s="2">
        <v>290</v>
      </c>
      <c r="O27" s="2">
        <f aca="true" t="shared" si="1" ref="O27:O34">+N27/$N$3*12</f>
        <v>316.3636363636364</v>
      </c>
      <c r="P27" s="2"/>
      <c r="Q27" s="2">
        <v>150</v>
      </c>
      <c r="R27" s="2">
        <v>150</v>
      </c>
      <c r="S27" s="2">
        <v>150</v>
      </c>
      <c r="T27" s="75"/>
    </row>
    <row r="28" spans="1:21" ht="12.75">
      <c r="A28" t="s">
        <v>257</v>
      </c>
      <c r="B28" s="4">
        <v>53.1704</v>
      </c>
      <c r="C28" s="2">
        <v>891</v>
      </c>
      <c r="D28" s="2">
        <v>440</v>
      </c>
      <c r="E28" s="2">
        <v>125</v>
      </c>
      <c r="F28" s="2">
        <v>558</v>
      </c>
      <c r="G28" s="2"/>
      <c r="H28" s="2">
        <v>73</v>
      </c>
      <c r="I28" s="2">
        <v>400</v>
      </c>
      <c r="J28" s="2">
        <v>400</v>
      </c>
      <c r="K28" s="2">
        <v>358</v>
      </c>
      <c r="L28" s="2"/>
      <c r="M28" s="2"/>
      <c r="N28" s="2"/>
      <c r="O28" s="2">
        <f t="shared" si="1"/>
        <v>0</v>
      </c>
      <c r="P28" s="2"/>
      <c r="Q28" s="2"/>
      <c r="R28" s="2"/>
      <c r="S28" s="2"/>
      <c r="T28" s="75"/>
      <c r="U28" s="2"/>
    </row>
    <row r="29" spans="1:20" ht="12.75">
      <c r="A29" t="s">
        <v>233</v>
      </c>
      <c r="B29" s="4">
        <v>53.171</v>
      </c>
      <c r="C29" s="2">
        <v>79</v>
      </c>
      <c r="D29" s="2">
        <v>148</v>
      </c>
      <c r="E29" s="2">
        <v>163</v>
      </c>
      <c r="F29" s="2">
        <v>172</v>
      </c>
      <c r="G29" s="2">
        <v>617</v>
      </c>
      <c r="H29" s="2">
        <v>151</v>
      </c>
      <c r="I29" s="2">
        <v>247</v>
      </c>
      <c r="J29" s="2">
        <v>133</v>
      </c>
      <c r="K29" s="2">
        <v>149</v>
      </c>
      <c r="L29" s="2">
        <v>93</v>
      </c>
      <c r="M29" s="2">
        <v>191</v>
      </c>
      <c r="N29" s="2">
        <v>523</v>
      </c>
      <c r="O29" s="2">
        <f t="shared" si="1"/>
        <v>570.5454545454545</v>
      </c>
      <c r="P29" s="2"/>
      <c r="Q29" s="2">
        <v>600</v>
      </c>
      <c r="R29" s="2">
        <v>600</v>
      </c>
      <c r="S29" s="2">
        <v>600</v>
      </c>
      <c r="T29" s="75"/>
    </row>
    <row r="30" spans="1:20" ht="12.75">
      <c r="A30" t="s">
        <v>247</v>
      </c>
      <c r="B30" s="4">
        <v>53.172</v>
      </c>
      <c r="C30" s="2">
        <v>876</v>
      </c>
      <c r="D30" s="2">
        <v>369</v>
      </c>
      <c r="E30" s="2">
        <v>2192</v>
      </c>
      <c r="F30" s="2">
        <v>692</v>
      </c>
      <c r="G30" s="2">
        <v>113</v>
      </c>
      <c r="H30" s="2">
        <v>96</v>
      </c>
      <c r="I30" s="2">
        <v>539</v>
      </c>
      <c r="J30" s="2">
        <v>419</v>
      </c>
      <c r="K30" s="2"/>
      <c r="L30" s="2">
        <v>201</v>
      </c>
      <c r="M30" s="2"/>
      <c r="N30" s="2">
        <v>757</v>
      </c>
      <c r="O30" s="2">
        <f t="shared" si="1"/>
        <v>825.8181818181818</v>
      </c>
      <c r="P30" s="2"/>
      <c r="Q30" s="2">
        <v>700</v>
      </c>
      <c r="R30" s="2">
        <v>700</v>
      </c>
      <c r="S30" s="2">
        <v>700</v>
      </c>
      <c r="T30" s="75"/>
    </row>
    <row r="31" spans="1:20" ht="12.75">
      <c r="A31" t="s">
        <v>838</v>
      </c>
      <c r="B31" s="4">
        <v>53.175</v>
      </c>
      <c r="C31" s="2"/>
      <c r="D31" s="2"/>
      <c r="E31" s="2"/>
      <c r="F31" s="2"/>
      <c r="G31" s="2"/>
      <c r="H31" s="2"/>
      <c r="I31" s="2"/>
      <c r="J31" s="2"/>
      <c r="K31" s="2"/>
      <c r="L31" s="2">
        <v>11</v>
      </c>
      <c r="M31" s="2"/>
      <c r="N31" s="2">
        <v>115</v>
      </c>
      <c r="O31" s="2">
        <f t="shared" si="1"/>
        <v>125.45454545454547</v>
      </c>
      <c r="P31" s="2"/>
      <c r="Q31" s="2"/>
      <c r="R31" s="2"/>
      <c r="S31" s="2"/>
      <c r="T31" s="48"/>
    </row>
    <row r="32" spans="1:20" ht="12.75">
      <c r="A32" t="s">
        <v>839</v>
      </c>
      <c r="B32" s="4">
        <v>53.176</v>
      </c>
      <c r="C32" s="2"/>
      <c r="D32" s="2"/>
      <c r="E32" s="2"/>
      <c r="F32" s="2"/>
      <c r="G32" s="2"/>
      <c r="H32" s="2"/>
      <c r="I32" s="2"/>
      <c r="J32" s="2"/>
      <c r="K32" s="2"/>
      <c r="L32" s="2">
        <v>14</v>
      </c>
      <c r="M32" s="2"/>
      <c r="N32" s="2">
        <v>13</v>
      </c>
      <c r="O32" s="2">
        <f t="shared" si="1"/>
        <v>14.181818181818183</v>
      </c>
      <c r="P32" s="2"/>
      <c r="Q32" s="2"/>
      <c r="R32" s="2"/>
      <c r="S32" s="2"/>
      <c r="T32" s="48"/>
    </row>
    <row r="33" spans="1:20" ht="12.75">
      <c r="A33" t="s">
        <v>152</v>
      </c>
      <c r="B33" s="4">
        <v>53.177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350</v>
      </c>
      <c r="O33" s="2">
        <v>200</v>
      </c>
      <c r="P33" s="2"/>
      <c r="Q33" s="2"/>
      <c r="R33" s="2"/>
      <c r="S33" s="2"/>
      <c r="T33" s="48"/>
    </row>
    <row r="34" spans="1:20" ht="12.75">
      <c r="A34" t="s">
        <v>840</v>
      </c>
      <c r="B34" s="4">
        <v>53.179</v>
      </c>
      <c r="C34" s="2"/>
      <c r="D34" s="2"/>
      <c r="E34" s="2"/>
      <c r="F34" s="2"/>
      <c r="G34" s="2"/>
      <c r="H34" s="2"/>
      <c r="I34" s="2"/>
      <c r="J34" s="2"/>
      <c r="K34" s="2"/>
      <c r="L34" s="2">
        <v>444</v>
      </c>
      <c r="M34" s="2"/>
      <c r="N34" s="2">
        <v>1481</v>
      </c>
      <c r="O34" s="2">
        <f t="shared" si="1"/>
        <v>1615.6363636363635</v>
      </c>
      <c r="P34" s="2"/>
      <c r="Q34" s="2">
        <v>700</v>
      </c>
      <c r="R34" s="2">
        <v>700</v>
      </c>
      <c r="S34" s="2">
        <v>700</v>
      </c>
      <c r="T34" s="48"/>
    </row>
    <row r="35" spans="1:21" ht="12.75">
      <c r="A35" t="s">
        <v>994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1000</v>
      </c>
      <c r="R35" s="2">
        <v>1000</v>
      </c>
      <c r="S35" s="2">
        <v>1000</v>
      </c>
      <c r="T35" s="48"/>
      <c r="U35" t="s">
        <v>995</v>
      </c>
    </row>
    <row r="36" spans="2:20" ht="12.7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144000</v>
      </c>
      <c r="Q36" s="2"/>
      <c r="R36" s="2"/>
      <c r="S36" s="2"/>
      <c r="T36" s="48"/>
    </row>
    <row r="37" spans="1:20" ht="12.75">
      <c r="A37" t="s">
        <v>585</v>
      </c>
      <c r="B37" s="4">
        <v>54.24</v>
      </c>
      <c r="C37" s="2"/>
      <c r="D37" s="2"/>
      <c r="E37" s="2">
        <v>1098</v>
      </c>
      <c r="F37" s="2"/>
      <c r="G37" s="2"/>
      <c r="H37" s="2"/>
      <c r="I37" s="2">
        <v>298</v>
      </c>
      <c r="J37" s="2"/>
      <c r="K37" s="2"/>
      <c r="L37" s="2"/>
      <c r="M37" s="2"/>
      <c r="N37" s="2">
        <v>624</v>
      </c>
      <c r="O37" s="2">
        <v>624</v>
      </c>
      <c r="P37" s="2"/>
      <c r="Q37" s="2"/>
      <c r="R37" s="2"/>
      <c r="S37" s="2"/>
      <c r="T37" s="75"/>
    </row>
    <row r="38" spans="1:20" ht="12.75">
      <c r="A38" t="s">
        <v>586</v>
      </c>
      <c r="B38" s="4"/>
      <c r="C38" s="2"/>
      <c r="D38" s="2"/>
      <c r="E38" s="2"/>
      <c r="F38" s="2"/>
      <c r="G38" s="2"/>
      <c r="H38" s="2"/>
      <c r="I38" s="2">
        <v>1191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12.75">
      <c r="A39" s="6" t="s">
        <v>91</v>
      </c>
      <c r="B39" s="12"/>
      <c r="C39" s="8">
        <f>SUM(C7:C37)</f>
        <v>73829</v>
      </c>
      <c r="D39" s="8">
        <f>SUM(D7:D37)</f>
        <v>78197</v>
      </c>
      <c r="E39" s="8">
        <f>SUM(E7:E38)</f>
        <v>85594</v>
      </c>
      <c r="F39" s="8">
        <f>SUM(F7:F38)</f>
        <v>81402</v>
      </c>
      <c r="G39" s="8">
        <f>SUM(G7:G38)</f>
        <v>83949</v>
      </c>
      <c r="H39" s="8">
        <f>SUM(H7:H38)</f>
        <v>86076</v>
      </c>
      <c r="I39" s="8">
        <f>SUM(I7:I38)</f>
        <v>91114</v>
      </c>
      <c r="J39" s="8">
        <v>89406</v>
      </c>
      <c r="K39" s="8">
        <v>96664</v>
      </c>
      <c r="L39" s="8">
        <v>94284</v>
      </c>
      <c r="M39" s="8">
        <v>85310</v>
      </c>
      <c r="N39" s="8">
        <f aca="true" t="shared" si="2" ref="N39:S39">SUM(N7:N38)</f>
        <v>113232</v>
      </c>
      <c r="O39" s="8">
        <f t="shared" si="2"/>
        <v>122550.36363636363</v>
      </c>
      <c r="P39" s="8">
        <f t="shared" si="2"/>
        <v>144000</v>
      </c>
      <c r="Q39" s="8">
        <f t="shared" si="2"/>
        <v>121100.203</v>
      </c>
      <c r="R39" s="8">
        <f t="shared" si="2"/>
        <v>117741.523</v>
      </c>
      <c r="S39" s="8">
        <f t="shared" si="2"/>
        <v>117741.523</v>
      </c>
      <c r="T39" s="49">
        <f>(S39-P39)/P39</f>
        <v>-0.1823505347222222</v>
      </c>
    </row>
    <row r="40" spans="3:2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8"/>
    </row>
    <row r="41" spans="3:2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0" t="s">
        <v>445</v>
      </c>
      <c r="Q41" s="20"/>
      <c r="R41" s="52">
        <f>Q39-R39</f>
        <v>3358.679999999993</v>
      </c>
      <c r="S41" s="2"/>
      <c r="T41" s="48"/>
    </row>
    <row r="42" spans="1:20" ht="12.75">
      <c r="A42" s="6" t="s">
        <v>875</v>
      </c>
      <c r="P42" s="20" t="s">
        <v>668</v>
      </c>
      <c r="Q42" s="20"/>
      <c r="R42" s="52">
        <f>P39-R39</f>
        <v>26258.477</v>
      </c>
      <c r="T42" s="48"/>
    </row>
    <row r="43" spans="16:20" ht="12.75">
      <c r="P43" s="20" t="s">
        <v>397</v>
      </c>
      <c r="Q43" s="20"/>
      <c r="R43" s="52">
        <f>R39-S39</f>
        <v>0</v>
      </c>
      <c r="T43" s="48"/>
    </row>
    <row r="44" spans="1:20" ht="12.75">
      <c r="A44" t="s">
        <v>903</v>
      </c>
      <c r="T44" s="48"/>
    </row>
    <row r="45" ht="12.75">
      <c r="A45" s="139" t="s">
        <v>21</v>
      </c>
    </row>
    <row r="46" spans="1:20" ht="12.75">
      <c r="A46" t="s">
        <v>20</v>
      </c>
      <c r="T46" s="48"/>
    </row>
    <row r="47" spans="1:20" ht="12.75">
      <c r="A47" t="s">
        <v>67</v>
      </c>
      <c r="P47" s="4"/>
      <c r="Q47" s="134"/>
      <c r="T47" s="48"/>
    </row>
    <row r="48" ht="12.75">
      <c r="A48" t="s">
        <v>23</v>
      </c>
    </row>
    <row r="49" spans="1:20" ht="12.75">
      <c r="A49" t="s">
        <v>50</v>
      </c>
      <c r="T49" s="48"/>
    </row>
    <row r="50" spans="1:20" ht="12.75">
      <c r="A50" t="s">
        <v>996</v>
      </c>
      <c r="T50" s="48"/>
    </row>
    <row r="51" ht="12.75">
      <c r="T51" s="48"/>
    </row>
    <row r="52" ht="12.75">
      <c r="T52" s="48"/>
    </row>
    <row r="53" spans="1:20" ht="12.75">
      <c r="A53" t="s">
        <v>888</v>
      </c>
      <c r="B53" s="4">
        <v>33.301</v>
      </c>
      <c r="M53">
        <v>2313</v>
      </c>
      <c r="N53" s="18">
        <v>70877</v>
      </c>
      <c r="O53" s="2">
        <v>71000</v>
      </c>
      <c r="T53" s="48"/>
    </row>
    <row r="54" spans="1:20" s="20" customFormat="1" ht="12.75">
      <c r="A54" s="37" t="s">
        <v>921</v>
      </c>
      <c r="B54" s="38">
        <v>37.113</v>
      </c>
      <c r="C54" s="39">
        <v>1000</v>
      </c>
      <c r="D54" s="39">
        <v>5307</v>
      </c>
      <c r="E54" s="39">
        <v>700</v>
      </c>
      <c r="F54" s="39"/>
      <c r="G54" s="39"/>
      <c r="H54" s="39"/>
      <c r="I54" s="39"/>
      <c r="J54" s="39">
        <v>502</v>
      </c>
      <c r="K54" s="39">
        <v>1050</v>
      </c>
      <c r="L54" s="39">
        <v>1702</v>
      </c>
      <c r="M54" s="39">
        <v>2578</v>
      </c>
      <c r="N54" s="160">
        <v>113</v>
      </c>
      <c r="O54" s="2">
        <f>+N54/$N$3*12</f>
        <v>123.27272727272728</v>
      </c>
      <c r="Q54" s="39"/>
      <c r="R54" s="39"/>
      <c r="S54" s="84"/>
      <c r="T54" s="39"/>
    </row>
    <row r="55" spans="1:20" s="20" customFormat="1" ht="12.75">
      <c r="A55" s="37" t="s">
        <v>997</v>
      </c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160"/>
      <c r="O55" s="2"/>
      <c r="Q55" s="39"/>
      <c r="R55" s="39"/>
      <c r="S55" s="22"/>
      <c r="T55" s="39"/>
    </row>
    <row r="56" spans="1:20" s="20" customFormat="1" ht="12.75">
      <c r="A56" s="37" t="s">
        <v>920</v>
      </c>
      <c r="B56" s="38">
        <v>38.902</v>
      </c>
      <c r="C56" s="39">
        <v>14069</v>
      </c>
      <c r="D56" s="39">
        <v>12162</v>
      </c>
      <c r="E56" s="39">
        <v>8500</v>
      </c>
      <c r="F56" s="39"/>
      <c r="G56" s="39"/>
      <c r="H56" s="39"/>
      <c r="I56" s="39">
        <v>9293</v>
      </c>
      <c r="J56" s="39">
        <v>7687</v>
      </c>
      <c r="K56" s="39">
        <v>9064</v>
      </c>
      <c r="L56" s="39">
        <v>8803</v>
      </c>
      <c r="M56" s="39">
        <v>11854</v>
      </c>
      <c r="N56" s="160">
        <v>900</v>
      </c>
      <c r="O56" s="2">
        <f>+N56/$N$3*12</f>
        <v>981.8181818181818</v>
      </c>
      <c r="P56" s="39"/>
      <c r="R56" s="39"/>
      <c r="S56" s="84"/>
      <c r="T56" s="39"/>
    </row>
    <row r="57" spans="1:20" ht="13.5" thickBot="1">
      <c r="A57" t="s">
        <v>902</v>
      </c>
      <c r="B57" s="161">
        <v>38.9022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>
        <v>1125</v>
      </c>
      <c r="O57" s="162">
        <f>+N57/$N$3*12</f>
        <v>1227.2727272727273</v>
      </c>
      <c r="T57" s="48"/>
    </row>
    <row r="58" spans="1:20" ht="13.5" thickTop="1">
      <c r="A58" s="36" t="s">
        <v>889</v>
      </c>
      <c r="I58" s="2">
        <f aca="true" t="shared" si="3" ref="I58:O58">SUM(I53:I57)</f>
        <v>9293</v>
      </c>
      <c r="J58" s="2">
        <f t="shared" si="3"/>
        <v>8189</v>
      </c>
      <c r="K58" s="2">
        <f t="shared" si="3"/>
        <v>10114</v>
      </c>
      <c r="L58" s="2">
        <f t="shared" si="3"/>
        <v>10505</v>
      </c>
      <c r="M58" s="2">
        <f t="shared" si="3"/>
        <v>16745</v>
      </c>
      <c r="N58" s="2">
        <f t="shared" si="3"/>
        <v>73015</v>
      </c>
      <c r="O58" s="2">
        <f t="shared" si="3"/>
        <v>73332.36363636362</v>
      </c>
      <c r="T58" s="48"/>
    </row>
    <row r="59" spans="1:20" ht="12.75">
      <c r="A59" s="36" t="s">
        <v>890</v>
      </c>
      <c r="I59" s="60">
        <f aca="true" t="shared" si="4" ref="I59:O59">I58/I39</f>
        <v>0.10199310753561472</v>
      </c>
      <c r="J59" s="60">
        <f t="shared" si="4"/>
        <v>0.09159340536429322</v>
      </c>
      <c r="K59" s="60">
        <f t="shared" si="4"/>
        <v>0.10463047256476041</v>
      </c>
      <c r="L59" s="60">
        <f t="shared" si="4"/>
        <v>0.11141869246107505</v>
      </c>
      <c r="M59" s="60">
        <f t="shared" si="4"/>
        <v>0.19628414019458446</v>
      </c>
      <c r="N59" s="60">
        <f t="shared" si="4"/>
        <v>0.6448265507983609</v>
      </c>
      <c r="O59" s="60">
        <f t="shared" si="4"/>
        <v>0.5983855246154827</v>
      </c>
      <c r="T59" s="48"/>
    </row>
    <row r="62" ht="12.75">
      <c r="O62" s="2"/>
    </row>
    <row r="63" ht="12.75">
      <c r="O63" s="2"/>
    </row>
    <row r="64" ht="12.75">
      <c r="O64" s="2"/>
    </row>
    <row r="65" spans="15:16" ht="12.75">
      <c r="O65" s="2"/>
      <c r="P65" s="5"/>
    </row>
    <row r="66" spans="15:16" ht="12.75">
      <c r="O66" s="2"/>
      <c r="P66" s="5"/>
    </row>
    <row r="67" spans="15:16" ht="12.75">
      <c r="O67" s="2"/>
      <c r="P67" s="5"/>
    </row>
    <row r="68" spans="15:16" ht="12.75">
      <c r="O68" s="2"/>
      <c r="P68" s="5"/>
    </row>
    <row r="69" ht="12.75">
      <c r="O69" s="2"/>
    </row>
    <row r="70" ht="12.75">
      <c r="O70" s="2"/>
    </row>
    <row r="71" ht="12.75">
      <c r="O71" s="2"/>
    </row>
    <row r="72" ht="12.75">
      <c r="O72" s="2"/>
    </row>
    <row r="73" ht="12.75">
      <c r="O73" s="2"/>
    </row>
    <row r="74" ht="12.75">
      <c r="O74" s="2"/>
    </row>
    <row r="75" ht="12.75">
      <c r="O75" s="2"/>
    </row>
    <row r="76" ht="12.75">
      <c r="P76" s="5"/>
    </row>
    <row r="77" ht="12.75">
      <c r="P77" s="5"/>
    </row>
    <row r="78" ht="12.75">
      <c r="P78" s="5"/>
    </row>
    <row r="81" ht="12.75">
      <c r="T81" s="2"/>
    </row>
    <row r="82" spans="16:20" ht="12.75">
      <c r="P82" s="5"/>
      <c r="T82" s="2"/>
    </row>
    <row r="83" ht="12.75">
      <c r="T83" s="2"/>
    </row>
    <row r="84" ht="12.75">
      <c r="T84" s="2"/>
    </row>
    <row r="85" ht="12.75">
      <c r="T85" s="2"/>
    </row>
    <row r="86" ht="12.75">
      <c r="T8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2" r:id="rId3"/>
  <headerFooter alignWithMargins="0">
    <oddFooter>&amp;L&amp;F
&amp;A&amp;CPage &amp;P of &amp;N&amp;R&amp;D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U8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8.57421875" style="0" hidden="1" customWidth="1"/>
    <col min="4" max="8" width="11.7109375" style="0" hidden="1" customWidth="1"/>
    <col min="9" max="9" width="7.57421875" style="0" hidden="1" customWidth="1"/>
    <col min="10" max="10" width="7.140625" style="0" hidden="1" customWidth="1"/>
    <col min="11" max="13" width="11.7109375" style="0" customWidth="1"/>
    <col min="14" max="14" width="13.28125" style="0" bestFit="1" customWidth="1"/>
    <col min="15" max="15" width="11.28125" style="0" customWidth="1"/>
    <col min="16" max="17" width="11.7109375" style="0" customWidth="1"/>
    <col min="18" max="18" width="10.7109375" style="0" bestFit="1" customWidth="1"/>
    <col min="19" max="19" width="9.57421875" style="0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spans="1:13" ht="12.75">
      <c r="A2" t="s">
        <v>82</v>
      </c>
      <c r="K2" s="136"/>
      <c r="L2" s="136"/>
      <c r="M2" s="136"/>
    </row>
    <row r="3" spans="1:20" ht="12.75">
      <c r="A3" s="6" t="s">
        <v>454</v>
      </c>
      <c r="N3" s="53">
        <v>11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604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46013.92</v>
      </c>
      <c r="M7" s="2">
        <v>52080</v>
      </c>
      <c r="N7" s="2">
        <v>0</v>
      </c>
      <c r="O7" s="2">
        <f>+N7/$N$3*12</f>
        <v>0</v>
      </c>
      <c r="P7" s="2"/>
      <c r="Q7" s="2"/>
      <c r="R7" s="2"/>
      <c r="S7" s="2"/>
      <c r="T7" s="75"/>
    </row>
    <row r="8" spans="1:20" ht="12.75">
      <c r="A8" t="s">
        <v>901</v>
      </c>
      <c r="B8" s="4">
        <v>51.1101</v>
      </c>
      <c r="C8" s="2"/>
      <c r="D8" s="2"/>
      <c r="E8" s="2"/>
      <c r="F8" s="2"/>
      <c r="G8" s="2"/>
      <c r="H8" s="2"/>
      <c r="I8" s="2"/>
      <c r="J8" s="2"/>
      <c r="K8" s="2">
        <v>790</v>
      </c>
      <c r="L8" s="2">
        <v>1458</v>
      </c>
      <c r="M8" s="2">
        <v>1171</v>
      </c>
      <c r="N8" s="2">
        <v>2375</v>
      </c>
      <c r="O8" s="2">
        <f>+N8/$N$3*12</f>
        <v>2590.909090909091</v>
      </c>
      <c r="P8" s="2"/>
      <c r="Q8" s="2">
        <v>1742</v>
      </c>
      <c r="R8" s="2">
        <v>1742</v>
      </c>
      <c r="S8" s="2">
        <v>1742</v>
      </c>
      <c r="T8" s="75"/>
    </row>
    <row r="9" spans="1:20" ht="12.75">
      <c r="A9" t="s">
        <v>669</v>
      </c>
      <c r="B9" s="4">
        <v>51.1102</v>
      </c>
      <c r="C9" s="2"/>
      <c r="D9" s="2"/>
      <c r="E9" s="2"/>
      <c r="F9" s="2"/>
      <c r="G9" s="2"/>
      <c r="H9" s="2"/>
      <c r="I9" s="2"/>
      <c r="J9" s="2"/>
      <c r="K9" s="2">
        <v>396</v>
      </c>
      <c r="L9" s="2">
        <v>731</v>
      </c>
      <c r="M9" s="2">
        <v>586</v>
      </c>
      <c r="N9" s="2">
        <v>1189</v>
      </c>
      <c r="O9" s="2">
        <f>+N9/$N$3*12</f>
        <v>1297.090909090909</v>
      </c>
      <c r="P9" s="2"/>
      <c r="Q9" s="2">
        <v>872</v>
      </c>
      <c r="R9" s="2">
        <v>872</v>
      </c>
      <c r="S9" s="2">
        <v>872</v>
      </c>
      <c r="T9" s="75"/>
    </row>
    <row r="10" spans="1:20" ht="12.75">
      <c r="A10" t="s">
        <v>26</v>
      </c>
      <c r="B10" s="4">
        <v>51.1105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14924</v>
      </c>
      <c r="O10" s="2">
        <f>+N10/$N$3*12</f>
        <v>16280.727272727272</v>
      </c>
      <c r="P10" s="2"/>
      <c r="Q10" s="2">
        <v>24000</v>
      </c>
      <c r="R10" s="2">
        <v>24000</v>
      </c>
      <c r="S10" s="2">
        <v>24000</v>
      </c>
      <c r="T10" s="75"/>
    </row>
    <row r="11" spans="1:20" ht="12.75">
      <c r="A11" t="s">
        <v>646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10764</v>
      </c>
      <c r="O11" s="2">
        <v>10764</v>
      </c>
      <c r="P11" s="2"/>
      <c r="Q11" s="2"/>
      <c r="R11" s="2"/>
      <c r="S11" s="2"/>
      <c r="T11" s="75"/>
    </row>
    <row r="12" spans="1:20" ht="12.75">
      <c r="A12" t="s">
        <v>448</v>
      </c>
      <c r="B12" s="4">
        <v>51.21</v>
      </c>
      <c r="C12" s="2">
        <v>4375</v>
      </c>
      <c r="D12" s="2">
        <v>5036</v>
      </c>
      <c r="E12" s="2">
        <v>6373</v>
      </c>
      <c r="F12" s="2">
        <v>5679</v>
      </c>
      <c r="G12" s="2">
        <v>6045</v>
      </c>
      <c r="H12" s="2">
        <v>6322</v>
      </c>
      <c r="I12" s="2">
        <v>6368</v>
      </c>
      <c r="J12" s="2">
        <v>6797</v>
      </c>
      <c r="K12" s="2">
        <v>8022</v>
      </c>
      <c r="L12" s="2">
        <v>8662</v>
      </c>
      <c r="M12" s="2">
        <v>9110</v>
      </c>
      <c r="N12" s="2">
        <v>0</v>
      </c>
      <c r="O12" s="2">
        <f>+N12/$N$3*12</f>
        <v>0</v>
      </c>
      <c r="P12" s="28"/>
      <c r="Q12" s="28"/>
      <c r="R12" s="28"/>
      <c r="S12" s="28"/>
      <c r="T12" s="75"/>
    </row>
    <row r="13" spans="1:20" ht="12.75">
      <c r="A13" t="s">
        <v>113</v>
      </c>
      <c r="B13" s="4">
        <v>51.22</v>
      </c>
      <c r="C13" s="2">
        <v>2471</v>
      </c>
      <c r="D13" s="2">
        <v>2487</v>
      </c>
      <c r="E13" s="2">
        <v>2712</v>
      </c>
      <c r="F13" s="2">
        <v>2958</v>
      </c>
      <c r="G13" s="2">
        <v>2919</v>
      </c>
      <c r="H13" s="2">
        <v>3160</v>
      </c>
      <c r="I13" s="2">
        <v>3111</v>
      </c>
      <c r="J13" s="2">
        <v>3213</v>
      </c>
      <c r="K13" s="2">
        <v>3357</v>
      </c>
      <c r="L13" s="2">
        <v>3502.61</v>
      </c>
      <c r="M13" s="2">
        <v>3962</v>
      </c>
      <c r="N13" s="2">
        <v>1416</v>
      </c>
      <c r="O13" s="2">
        <f>+N13/$N$3*12</f>
        <v>1544.7272727272725</v>
      </c>
      <c r="P13" s="2"/>
      <c r="Q13" s="2">
        <f>(Q8+Q9+Q10)*0.0765</f>
        <v>2035.971</v>
      </c>
      <c r="R13" s="2">
        <f>(R8+R9+R10)*0.0765</f>
        <v>2035.971</v>
      </c>
      <c r="S13" s="2">
        <f>(S8+S9+S10)*0.0765</f>
        <v>2035.971</v>
      </c>
      <c r="T13" s="75"/>
    </row>
    <row r="14" spans="1:20" ht="12.75">
      <c r="A14" t="s">
        <v>127</v>
      </c>
      <c r="B14" s="4">
        <v>51.24</v>
      </c>
      <c r="C14" s="2">
        <v>638</v>
      </c>
      <c r="D14" s="2">
        <v>690</v>
      </c>
      <c r="E14" s="2">
        <v>861</v>
      </c>
      <c r="F14" s="2">
        <v>908</v>
      </c>
      <c r="G14" s="2">
        <v>941</v>
      </c>
      <c r="H14" s="2">
        <v>918</v>
      </c>
      <c r="I14" s="2">
        <v>706</v>
      </c>
      <c r="J14" s="2">
        <v>832</v>
      </c>
      <c r="K14" s="2">
        <v>1037</v>
      </c>
      <c r="L14" s="2">
        <v>1067</v>
      </c>
      <c r="M14" s="2">
        <v>368</v>
      </c>
      <c r="N14" s="2"/>
      <c r="O14" s="2">
        <f>+N14/$N$3*12</f>
        <v>0</v>
      </c>
      <c r="P14" s="2"/>
      <c r="Q14" s="2"/>
      <c r="R14" s="2"/>
      <c r="S14" s="2"/>
      <c r="T14" s="75"/>
    </row>
    <row r="15" spans="2:20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</row>
    <row r="16" spans="1:21" ht="12.75">
      <c r="A16" t="s">
        <v>22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500</v>
      </c>
      <c r="P16" s="2"/>
      <c r="Q16" s="2">
        <v>1500</v>
      </c>
      <c r="R16" s="2">
        <v>1500</v>
      </c>
      <c r="S16" s="2">
        <v>1500</v>
      </c>
      <c r="T16" s="75"/>
      <c r="U16" t="s">
        <v>338</v>
      </c>
    </row>
    <row r="17" spans="1:20" ht="12.75">
      <c r="A17" t="s">
        <v>670</v>
      </c>
      <c r="B17" s="4">
        <v>52.124</v>
      </c>
      <c r="C17" s="2"/>
      <c r="D17" s="2"/>
      <c r="E17" s="2"/>
      <c r="F17" s="2"/>
      <c r="G17" s="2"/>
      <c r="H17" s="2"/>
      <c r="I17" s="2"/>
      <c r="J17" s="2"/>
      <c r="K17" s="2">
        <v>936</v>
      </c>
      <c r="L17" s="2"/>
      <c r="M17" s="2">
        <v>725</v>
      </c>
      <c r="N17" s="2">
        <v>725</v>
      </c>
      <c r="O17" s="2"/>
      <c r="P17" s="2"/>
      <c r="Q17" s="2">
        <v>725</v>
      </c>
      <c r="R17" s="2">
        <v>725</v>
      </c>
      <c r="S17" s="2">
        <v>725</v>
      </c>
      <c r="T17" s="75"/>
    </row>
    <row r="18" spans="1:20" ht="12.75">
      <c r="A18" t="s">
        <v>259</v>
      </c>
      <c r="B18" s="4">
        <v>52.126</v>
      </c>
      <c r="C18" s="2">
        <v>80</v>
      </c>
      <c r="D18" s="2" t="s">
        <v>102</v>
      </c>
      <c r="E18" s="2">
        <v>50</v>
      </c>
      <c r="F18" s="2"/>
      <c r="G18" s="2"/>
      <c r="H18" s="2"/>
      <c r="I18" s="2">
        <v>100</v>
      </c>
      <c r="J18" s="2"/>
      <c r="K18" s="2"/>
      <c r="L18" s="2">
        <v>35</v>
      </c>
      <c r="M18" s="2"/>
      <c r="N18" s="2">
        <v>492</v>
      </c>
      <c r="O18" s="2">
        <v>492</v>
      </c>
      <c r="P18" s="2"/>
      <c r="Q18" s="2">
        <v>200</v>
      </c>
      <c r="R18" s="2">
        <v>200</v>
      </c>
      <c r="S18" s="2">
        <v>200</v>
      </c>
      <c r="T18" s="75"/>
    </row>
    <row r="19" spans="1:20" ht="12.75">
      <c r="A19" t="s">
        <v>991</v>
      </c>
      <c r="B19" s="4">
        <v>52.1261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237</v>
      </c>
      <c r="O19" s="2">
        <v>237</v>
      </c>
      <c r="P19" s="2"/>
      <c r="Q19" s="2"/>
      <c r="R19" s="2"/>
      <c r="S19" s="2"/>
      <c r="T19" s="75"/>
    </row>
    <row r="20" spans="1:20" ht="12.75">
      <c r="A20" t="s">
        <v>234</v>
      </c>
      <c r="B20" s="4">
        <v>52.2206</v>
      </c>
      <c r="C20" s="2">
        <v>172</v>
      </c>
      <c r="D20" s="2">
        <v>785</v>
      </c>
      <c r="E20" s="2"/>
      <c r="F20" s="2">
        <v>6</v>
      </c>
      <c r="G20" s="2">
        <v>41</v>
      </c>
      <c r="H20" s="2">
        <v>6</v>
      </c>
      <c r="I20" s="2">
        <v>366</v>
      </c>
      <c r="J20" s="2">
        <v>45</v>
      </c>
      <c r="K20" s="2"/>
      <c r="L20" s="2">
        <v>95</v>
      </c>
      <c r="M20" s="2">
        <v>246</v>
      </c>
      <c r="N20" s="2">
        <v>750</v>
      </c>
      <c r="O20" s="2">
        <v>750</v>
      </c>
      <c r="P20" s="2"/>
      <c r="Q20" s="2">
        <v>300</v>
      </c>
      <c r="R20" s="2">
        <v>300</v>
      </c>
      <c r="S20" s="2">
        <v>300</v>
      </c>
      <c r="T20" s="75"/>
    </row>
    <row r="21" spans="1:20" ht="12.75" hidden="1">
      <c r="A21" t="s">
        <v>664</v>
      </c>
      <c r="B21" s="4">
        <v>52.2214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5"/>
    </row>
    <row r="22" spans="1:20" ht="12.75">
      <c r="A22" t="s">
        <v>671</v>
      </c>
      <c r="B22" s="4">
        <v>52.134</v>
      </c>
      <c r="C22" s="2"/>
      <c r="D22" s="2"/>
      <c r="E22" s="2"/>
      <c r="F22" s="2"/>
      <c r="G22" s="2"/>
      <c r="H22" s="2"/>
      <c r="I22" s="2"/>
      <c r="J22" s="2"/>
      <c r="K22" s="2">
        <v>4095</v>
      </c>
      <c r="L22" s="2"/>
      <c r="M22" s="2">
        <v>1663</v>
      </c>
      <c r="N22" s="2">
        <v>541</v>
      </c>
      <c r="O22" s="2">
        <v>541</v>
      </c>
      <c r="P22" s="2"/>
      <c r="Q22" s="2">
        <v>1663</v>
      </c>
      <c r="R22" s="2">
        <v>1663</v>
      </c>
      <c r="S22" s="2">
        <v>1663</v>
      </c>
      <c r="T22" s="75"/>
    </row>
    <row r="23" spans="1:21" ht="12.75">
      <c r="A23" t="s">
        <v>115</v>
      </c>
      <c r="B23" s="4">
        <v>52.32</v>
      </c>
      <c r="C23" s="2">
        <v>617</v>
      </c>
      <c r="D23" s="2">
        <v>716</v>
      </c>
      <c r="E23" s="2">
        <v>747</v>
      </c>
      <c r="F23" s="2">
        <v>881</v>
      </c>
      <c r="G23" s="2">
        <v>900</v>
      </c>
      <c r="H23" s="2">
        <v>1001</v>
      </c>
      <c r="I23" s="2">
        <v>984</v>
      </c>
      <c r="J23" s="2">
        <v>770</v>
      </c>
      <c r="K23" s="2">
        <v>688</v>
      </c>
      <c r="L23" s="2">
        <v>335</v>
      </c>
      <c r="M23" s="2">
        <v>514</v>
      </c>
      <c r="N23" s="2">
        <v>370</v>
      </c>
      <c r="O23" s="2">
        <f>+N23/$N$3*12</f>
        <v>403.6363636363636</v>
      </c>
      <c r="P23" s="2"/>
      <c r="Q23" s="2">
        <v>1200</v>
      </c>
      <c r="R23" s="2">
        <v>1200</v>
      </c>
      <c r="S23" s="2">
        <v>1200</v>
      </c>
      <c r="T23" s="75"/>
      <c r="U23" s="30"/>
    </row>
    <row r="24" spans="1:20" ht="12.75">
      <c r="A24" t="s">
        <v>137</v>
      </c>
      <c r="B24" s="4">
        <v>52.33</v>
      </c>
      <c r="C24" s="2">
        <v>20</v>
      </c>
      <c r="D24" s="2">
        <v>150</v>
      </c>
      <c r="E24" s="2"/>
      <c r="F24" s="2">
        <v>100</v>
      </c>
      <c r="G24" s="2">
        <v>2</v>
      </c>
      <c r="H24" s="2"/>
      <c r="I24" s="2"/>
      <c r="J24" s="2"/>
      <c r="K24" s="2"/>
      <c r="L24" s="2"/>
      <c r="M24" s="2"/>
      <c r="N24" s="2">
        <v>56</v>
      </c>
      <c r="O24" s="2">
        <v>56</v>
      </c>
      <c r="P24" s="2"/>
      <c r="Q24" s="2">
        <v>200</v>
      </c>
      <c r="R24" s="2">
        <v>200</v>
      </c>
      <c r="S24" s="2">
        <v>200</v>
      </c>
      <c r="T24" s="75"/>
    </row>
    <row r="25" spans="1:20" ht="12.75" hidden="1">
      <c r="A25" t="s">
        <v>117</v>
      </c>
      <c r="B25" s="4">
        <v>52.35</v>
      </c>
      <c r="C25" s="2">
        <v>44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>+N25/$N$3*12</f>
        <v>0</v>
      </c>
      <c r="P25" s="2"/>
      <c r="Q25" s="2"/>
      <c r="R25" s="2"/>
      <c r="S25" s="2"/>
      <c r="T25" s="75"/>
    </row>
    <row r="26" spans="1:20" ht="12.75">
      <c r="A26" t="s">
        <v>116</v>
      </c>
      <c r="B26" s="4">
        <v>52.321</v>
      </c>
      <c r="K26">
        <v>41</v>
      </c>
      <c r="N26" s="2"/>
      <c r="O26" s="2"/>
      <c r="T26" s="75"/>
    </row>
    <row r="27" spans="1:20" ht="12.75">
      <c r="A27" t="s">
        <v>117</v>
      </c>
      <c r="B27" s="4">
        <v>52.35</v>
      </c>
      <c r="K27" s="2">
        <v>47</v>
      </c>
      <c r="L27" s="2">
        <v>309</v>
      </c>
      <c r="M27" s="2"/>
      <c r="N27" s="2">
        <v>426</v>
      </c>
      <c r="O27" s="2">
        <v>426</v>
      </c>
      <c r="Q27" s="2">
        <v>1000</v>
      </c>
      <c r="R27" s="2">
        <v>1000</v>
      </c>
      <c r="S27" s="2">
        <v>1000</v>
      </c>
      <c r="T27" s="75"/>
    </row>
    <row r="28" spans="2:20" ht="12.75">
      <c r="B28" s="4"/>
      <c r="K28" s="2"/>
      <c r="L28" s="2"/>
      <c r="M28" s="2"/>
      <c r="N28" s="2"/>
      <c r="O28" s="2"/>
      <c r="T28" s="75"/>
    </row>
    <row r="29" spans="1:20" ht="12.75">
      <c r="A29" t="s">
        <v>233</v>
      </c>
      <c r="B29" s="4">
        <v>53.171</v>
      </c>
      <c r="C29" s="2">
        <v>31</v>
      </c>
      <c r="D29" s="2">
        <v>72</v>
      </c>
      <c r="E29" s="2">
        <v>8</v>
      </c>
      <c r="F29" s="2">
        <v>42</v>
      </c>
      <c r="G29" s="2">
        <v>19</v>
      </c>
      <c r="H29" s="2"/>
      <c r="I29" s="2">
        <v>19</v>
      </c>
      <c r="J29" s="2"/>
      <c r="K29" s="2">
        <v>16</v>
      </c>
      <c r="L29" s="2">
        <v>16</v>
      </c>
      <c r="M29" s="2">
        <v>10</v>
      </c>
      <c r="N29" s="2">
        <v>10</v>
      </c>
      <c r="O29" s="2">
        <f aca="true" t="shared" si="0" ref="O29:O36">+N29/$N$3*12</f>
        <v>10.909090909090908</v>
      </c>
      <c r="P29" s="2"/>
      <c r="Q29" s="2">
        <v>200</v>
      </c>
      <c r="R29" s="2">
        <v>200</v>
      </c>
      <c r="S29" s="2">
        <v>200</v>
      </c>
      <c r="T29" s="75"/>
    </row>
    <row r="30" spans="1:20" ht="12.75">
      <c r="A30" t="s">
        <v>248</v>
      </c>
      <c r="B30" s="4">
        <v>53.175</v>
      </c>
      <c r="C30" s="2">
        <v>1374</v>
      </c>
      <c r="D30" s="2">
        <v>1736</v>
      </c>
      <c r="E30" s="2">
        <v>493</v>
      </c>
      <c r="F30" s="2">
        <v>811</v>
      </c>
      <c r="G30" s="2">
        <v>366</v>
      </c>
      <c r="H30" s="2">
        <v>273</v>
      </c>
      <c r="I30" s="2">
        <v>662</v>
      </c>
      <c r="J30" s="2">
        <v>144</v>
      </c>
      <c r="K30" s="2">
        <v>216</v>
      </c>
      <c r="L30" s="2">
        <v>176</v>
      </c>
      <c r="M30" s="2">
        <v>651</v>
      </c>
      <c r="N30" s="11">
        <v>1428</v>
      </c>
      <c r="O30" s="2">
        <f t="shared" si="0"/>
        <v>1557.8181818181818</v>
      </c>
      <c r="P30" s="2"/>
      <c r="Q30" s="2">
        <v>300</v>
      </c>
      <c r="R30" s="2">
        <v>300</v>
      </c>
      <c r="S30" s="2">
        <v>300</v>
      </c>
      <c r="T30" s="75"/>
    </row>
    <row r="31" spans="1:20" ht="12.75">
      <c r="A31" t="s">
        <v>243</v>
      </c>
      <c r="B31" s="4">
        <v>53.176</v>
      </c>
      <c r="C31" s="2">
        <v>87</v>
      </c>
      <c r="D31" s="2">
        <v>170</v>
      </c>
      <c r="E31" s="2">
        <v>108</v>
      </c>
      <c r="F31" s="2">
        <v>88</v>
      </c>
      <c r="G31" s="2">
        <v>69</v>
      </c>
      <c r="H31" s="2">
        <v>97</v>
      </c>
      <c r="I31" s="2">
        <v>94</v>
      </c>
      <c r="J31" s="2">
        <v>107</v>
      </c>
      <c r="K31" s="2">
        <v>83</v>
      </c>
      <c r="L31" s="2">
        <v>66</v>
      </c>
      <c r="M31" s="2">
        <v>74</v>
      </c>
      <c r="N31" s="11">
        <v>65</v>
      </c>
      <c r="O31" s="2">
        <f t="shared" si="0"/>
        <v>70.9090909090909</v>
      </c>
      <c r="P31" s="2"/>
      <c r="Q31" s="2">
        <v>100</v>
      </c>
      <c r="R31" s="2">
        <v>100</v>
      </c>
      <c r="S31" s="2">
        <v>100</v>
      </c>
      <c r="T31" s="75"/>
    </row>
    <row r="32" spans="1:20" ht="12.75">
      <c r="A32" t="s">
        <v>244</v>
      </c>
      <c r="B32" s="4">
        <v>53.177</v>
      </c>
      <c r="C32" s="2">
        <v>222</v>
      </c>
      <c r="D32" s="2">
        <v>494</v>
      </c>
      <c r="E32" s="2">
        <v>414</v>
      </c>
      <c r="F32" s="2">
        <v>618</v>
      </c>
      <c r="G32" s="2">
        <v>354</v>
      </c>
      <c r="H32" s="2">
        <v>364</v>
      </c>
      <c r="I32" s="2">
        <v>671</v>
      </c>
      <c r="J32" s="2">
        <v>367</v>
      </c>
      <c r="K32" s="2">
        <v>441</v>
      </c>
      <c r="L32" s="2">
        <v>907</v>
      </c>
      <c r="M32" s="2">
        <v>497</v>
      </c>
      <c r="N32" s="11">
        <v>378</v>
      </c>
      <c r="O32" s="2">
        <f t="shared" si="0"/>
        <v>412.3636363636364</v>
      </c>
      <c r="P32" s="19"/>
      <c r="Q32" s="2">
        <v>500</v>
      </c>
      <c r="R32" s="19">
        <v>500</v>
      </c>
      <c r="S32" s="19">
        <v>500</v>
      </c>
      <c r="T32" s="75"/>
    </row>
    <row r="33" spans="1:20" ht="12.75">
      <c r="A33" t="s">
        <v>165</v>
      </c>
      <c r="B33" s="4">
        <v>53.178</v>
      </c>
      <c r="C33" s="2">
        <v>163</v>
      </c>
      <c r="D33" s="2"/>
      <c r="E33" s="2">
        <v>62</v>
      </c>
      <c r="J33" s="2">
        <v>90</v>
      </c>
      <c r="K33" s="2">
        <v>186</v>
      </c>
      <c r="L33" s="2"/>
      <c r="M33" s="2"/>
      <c r="N33" s="11">
        <v>196</v>
      </c>
      <c r="O33" s="2">
        <f t="shared" si="0"/>
        <v>213.8181818181818</v>
      </c>
      <c r="P33" s="19"/>
      <c r="Q33" s="2"/>
      <c r="R33" s="19"/>
      <c r="S33" s="19"/>
      <c r="T33" s="75"/>
    </row>
    <row r="34" spans="1:20" ht="12.75">
      <c r="A34" t="s">
        <v>153</v>
      </c>
      <c r="B34" s="4">
        <v>53.179</v>
      </c>
      <c r="C34" s="2">
        <v>2298</v>
      </c>
      <c r="D34" s="2">
        <v>3540</v>
      </c>
      <c r="E34" s="2">
        <v>3752</v>
      </c>
      <c r="F34" s="2">
        <v>2812</v>
      </c>
      <c r="G34" s="2">
        <v>3277</v>
      </c>
      <c r="H34" s="2">
        <v>4057</v>
      </c>
      <c r="I34" s="2">
        <v>5519</v>
      </c>
      <c r="J34" s="2">
        <v>6160</v>
      </c>
      <c r="K34" s="2">
        <v>5041</v>
      </c>
      <c r="L34" s="2">
        <v>6600</v>
      </c>
      <c r="M34" s="2">
        <v>4370</v>
      </c>
      <c r="N34" s="11">
        <v>4417</v>
      </c>
      <c r="O34" s="2">
        <f t="shared" si="0"/>
        <v>4818.545454545455</v>
      </c>
      <c r="P34" s="19"/>
      <c r="Q34" s="2">
        <v>6000</v>
      </c>
      <c r="R34" s="19">
        <v>6000</v>
      </c>
      <c r="S34" s="19">
        <v>6000</v>
      </c>
      <c r="T34" s="75"/>
    </row>
    <row r="35" spans="1:20" ht="12.75" hidden="1">
      <c r="A35" t="s">
        <v>303</v>
      </c>
      <c r="B35" s="4"/>
      <c r="C35" s="2">
        <v>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0"/>
        <v>0</v>
      </c>
      <c r="P35" s="2"/>
      <c r="Q35" s="2"/>
      <c r="R35" s="2"/>
      <c r="S35" s="2"/>
      <c r="T35" s="75"/>
    </row>
    <row r="36" spans="2:20" ht="12.7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0"/>
        <v>0</v>
      </c>
      <c r="P36" s="2"/>
      <c r="Q36" s="2"/>
      <c r="R36" s="2"/>
      <c r="S36" s="2"/>
      <c r="T36" s="75"/>
    </row>
    <row r="37" spans="1:20" ht="12.75">
      <c r="A37" t="s">
        <v>364</v>
      </c>
      <c r="B37" s="4"/>
      <c r="C37" s="2"/>
      <c r="D37" s="2"/>
      <c r="E37" s="2"/>
      <c r="F37" s="2"/>
      <c r="G37" s="2">
        <v>4200</v>
      </c>
      <c r="H37" s="2"/>
      <c r="I37" s="2">
        <v>2800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75"/>
    </row>
    <row r="38" spans="2:20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8"/>
    </row>
    <row r="39" spans="1:20" ht="12.75">
      <c r="A39" s="6" t="s">
        <v>91</v>
      </c>
      <c r="B39" s="6"/>
      <c r="C39" s="8">
        <f>SUM(C7:C35)</f>
        <v>44907</v>
      </c>
      <c r="D39" s="8">
        <f>SUM(D7:D35)</f>
        <v>48398</v>
      </c>
      <c r="E39" s="8">
        <f>SUM(E7:E36)</f>
        <v>50810</v>
      </c>
      <c r="F39" s="8">
        <f>SUM(F7:F38)</f>
        <v>53571</v>
      </c>
      <c r="G39" s="8">
        <f>SUM(G7:G38)</f>
        <v>57267</v>
      </c>
      <c r="H39" s="8">
        <f>SUM(H7:H38)</f>
        <v>57509</v>
      </c>
      <c r="I39" s="8">
        <f>SUM(I7:I38)</f>
        <v>62414</v>
      </c>
      <c r="J39" s="8">
        <v>60911</v>
      </c>
      <c r="K39" s="8">
        <f aca="true" t="shared" si="1" ref="K39:S39">SUM(K7:K38)</f>
        <v>69542</v>
      </c>
      <c r="L39" s="8">
        <v>69973</v>
      </c>
      <c r="M39" s="8">
        <v>73095</v>
      </c>
      <c r="N39" s="8">
        <f t="shared" si="1"/>
        <v>40759</v>
      </c>
      <c r="O39" s="8">
        <f t="shared" si="1"/>
        <v>42967.454545454544</v>
      </c>
      <c r="P39" s="8">
        <f t="shared" si="1"/>
        <v>0</v>
      </c>
      <c r="Q39" s="8">
        <f t="shared" si="1"/>
        <v>42537.971000000005</v>
      </c>
      <c r="R39" s="8">
        <f t="shared" si="1"/>
        <v>42537.971000000005</v>
      </c>
      <c r="S39" s="8">
        <f t="shared" si="1"/>
        <v>42537.971000000005</v>
      </c>
      <c r="T39" s="49" t="e">
        <f>(S39-P39)/P39</f>
        <v>#DIV/0!</v>
      </c>
    </row>
    <row r="40" spans="3:2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8"/>
    </row>
    <row r="41" spans="1:20" ht="12.75">
      <c r="A41" s="6" t="s">
        <v>875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0" t="s">
        <v>445</v>
      </c>
      <c r="Q41" s="20"/>
      <c r="R41" s="52">
        <f>Q39-R39</f>
        <v>0</v>
      </c>
      <c r="S41" s="2"/>
      <c r="T41" s="48"/>
    </row>
    <row r="42" spans="16:20" ht="12.75">
      <c r="P42" s="20" t="s">
        <v>668</v>
      </c>
      <c r="Q42" s="20"/>
      <c r="R42" s="52">
        <f>P39-R39</f>
        <v>-42537.971000000005</v>
      </c>
      <c r="T42" s="48"/>
    </row>
    <row r="43" spans="1:20" ht="12.75">
      <c r="A43" s="30" t="s">
        <v>49</v>
      </c>
      <c r="B43">
        <v>33.4119</v>
      </c>
      <c r="M43" s="18">
        <v>30244</v>
      </c>
      <c r="N43" s="28">
        <v>5314</v>
      </c>
      <c r="O43" s="2">
        <f>+N43/$N$3*12</f>
        <v>5797.090909090909</v>
      </c>
      <c r="P43" s="20" t="s">
        <v>397</v>
      </c>
      <c r="Q43" s="20"/>
      <c r="R43" s="52">
        <f>R39-S39</f>
        <v>0</v>
      </c>
      <c r="T43" s="48"/>
    </row>
    <row r="44" spans="1:20" ht="12.75">
      <c r="A44" t="s">
        <v>893</v>
      </c>
      <c r="B44" s="4">
        <v>33.126</v>
      </c>
      <c r="E44" s="91">
        <v>22000</v>
      </c>
      <c r="I44" s="39">
        <v>18631</v>
      </c>
      <c r="J44" s="39">
        <v>29422</v>
      </c>
      <c r="K44" s="39">
        <v>30850</v>
      </c>
      <c r="L44" s="39">
        <v>30591</v>
      </c>
      <c r="M44" s="39">
        <v>33329</v>
      </c>
      <c r="N44" s="40">
        <v>18242</v>
      </c>
      <c r="O44" s="2">
        <f>+N44/$N$3*12</f>
        <v>19900.363636363636</v>
      </c>
      <c r="T44" s="48"/>
    </row>
    <row r="45" spans="1:20" ht="12.75">
      <c r="A45" t="s">
        <v>874</v>
      </c>
      <c r="B45">
        <v>33.4125</v>
      </c>
      <c r="E45" s="91"/>
      <c r="I45" s="39"/>
      <c r="J45" s="39"/>
      <c r="K45" s="39"/>
      <c r="L45" s="39"/>
      <c r="M45" s="39"/>
      <c r="N45">
        <v>3992</v>
      </c>
      <c r="O45" s="2">
        <f>+N45/$N$3*12</f>
        <v>4354.909090909091</v>
      </c>
      <c r="T45" s="48"/>
    </row>
    <row r="46" spans="1:20" ht="13.5" thickBot="1">
      <c r="A46" t="s">
        <v>894</v>
      </c>
      <c r="B46" s="4">
        <v>34.551</v>
      </c>
      <c r="E46" s="91">
        <v>2572</v>
      </c>
      <c r="I46" s="39">
        <v>2193</v>
      </c>
      <c r="J46" s="39">
        <v>1319</v>
      </c>
      <c r="K46" s="39">
        <v>2437</v>
      </c>
      <c r="L46" s="39">
        <v>1516</v>
      </c>
      <c r="M46" s="39">
        <v>1255</v>
      </c>
      <c r="N46" s="40">
        <v>2751</v>
      </c>
      <c r="O46" s="2">
        <f>+N46/$N$3*12</f>
        <v>3001.090909090909</v>
      </c>
      <c r="P46" s="60"/>
      <c r="T46" s="48"/>
    </row>
    <row r="47" spans="1:20" ht="13.5" thickTop="1">
      <c r="A47" s="142" t="s">
        <v>91</v>
      </c>
      <c r="B47" s="143"/>
      <c r="C47" s="143"/>
      <c r="D47" s="143"/>
      <c r="E47" s="144"/>
      <c r="F47" s="143"/>
      <c r="G47" s="143"/>
      <c r="H47" s="143"/>
      <c r="I47" s="145"/>
      <c r="J47" s="145">
        <f aca="true" t="shared" si="2" ref="J47:O47">SUM(J43:J46)</f>
        <v>30741</v>
      </c>
      <c r="K47" s="145">
        <f t="shared" si="2"/>
        <v>33287</v>
      </c>
      <c r="L47" s="145">
        <f t="shared" si="2"/>
        <v>32107</v>
      </c>
      <c r="M47" s="145">
        <f>SUM(M43:M46)</f>
        <v>64828</v>
      </c>
      <c r="N47" s="145">
        <f t="shared" si="2"/>
        <v>30299</v>
      </c>
      <c r="O47" s="145">
        <f t="shared" si="2"/>
        <v>33053.454545454544</v>
      </c>
      <c r="T47" s="48"/>
    </row>
    <row r="48" spans="1:20" ht="12.75">
      <c r="A48" s="36" t="s">
        <v>891</v>
      </c>
      <c r="E48" s="91"/>
      <c r="I48" s="39"/>
      <c r="J48" s="132">
        <f aca="true" t="shared" si="3" ref="J48:O48">J46/J39</f>
        <v>0.02165454515604735</v>
      </c>
      <c r="K48" s="132">
        <f t="shared" si="3"/>
        <v>0.03504357079175175</v>
      </c>
      <c r="L48" s="132">
        <f t="shared" si="3"/>
        <v>0.021665499549826363</v>
      </c>
      <c r="M48" s="132">
        <f t="shared" si="3"/>
        <v>0.017169437033996853</v>
      </c>
      <c r="N48" s="132">
        <f t="shared" si="3"/>
        <v>0.06749429573836453</v>
      </c>
      <c r="O48" s="132">
        <f t="shared" si="3"/>
        <v>0.06984567600847999</v>
      </c>
      <c r="T48" s="48"/>
    </row>
    <row r="49" spans="1:20" ht="12.75">
      <c r="A49" s="153" t="s">
        <v>892</v>
      </c>
      <c r="J49" s="132">
        <f>J44/J39</f>
        <v>0.483032621365599</v>
      </c>
      <c r="K49" s="132">
        <f>K47/K39</f>
        <v>0.4786603779011245</v>
      </c>
      <c r="L49" s="132">
        <f>L47/L39</f>
        <v>0.4588484129592843</v>
      </c>
      <c r="M49" s="132">
        <f>M47/M39</f>
        <v>0.8869006087967714</v>
      </c>
      <c r="N49" s="132">
        <f>N47/N39</f>
        <v>0.7433695625506023</v>
      </c>
      <c r="O49" s="132">
        <f>O47/O39</f>
        <v>0.7692672255110633</v>
      </c>
      <c r="T49" s="48"/>
    </row>
    <row r="50" spans="1:20" ht="12.75">
      <c r="A50" s="153"/>
      <c r="J50" s="132"/>
      <c r="K50" s="132"/>
      <c r="L50" s="132"/>
      <c r="M50" s="132"/>
      <c r="T50" s="48"/>
    </row>
    <row r="51" spans="1:20" ht="12.75">
      <c r="A51" s="139" t="s">
        <v>0</v>
      </c>
      <c r="T51" s="48"/>
    </row>
    <row r="52" spans="1:20" ht="12.75">
      <c r="A52" s="30" t="s">
        <v>1</v>
      </c>
      <c r="T52" s="48"/>
    </row>
    <row r="53" ht="12.75">
      <c r="T53" s="48"/>
    </row>
    <row r="54" spans="1:20" ht="12.75">
      <c r="A54" s="6" t="s">
        <v>992</v>
      </c>
      <c r="L54" s="2"/>
      <c r="M54" s="2"/>
      <c r="T54" s="48"/>
    </row>
    <row r="55" spans="12:20" ht="12.75">
      <c r="L55" s="2"/>
      <c r="M55" s="2"/>
      <c r="N55" s="5"/>
      <c r="T55" s="48"/>
    </row>
    <row r="56" spans="12:20" ht="12.75">
      <c r="L56" s="2"/>
      <c r="M56" s="2"/>
      <c r="N56" s="5"/>
      <c r="T56" s="48"/>
    </row>
    <row r="57" spans="12:20" ht="12.75">
      <c r="L57" s="2"/>
      <c r="M57" s="2"/>
      <c r="T57" s="48"/>
    </row>
    <row r="58" spans="12:14" ht="12.75">
      <c r="L58" s="2"/>
      <c r="M58" s="2"/>
      <c r="N58" s="5"/>
    </row>
    <row r="59" spans="12:14" ht="12.75">
      <c r="L59" s="2"/>
      <c r="M59" s="2"/>
      <c r="N59" s="5"/>
    </row>
    <row r="60" spans="12:14" ht="12.75">
      <c r="L60" s="2"/>
      <c r="M60" s="2"/>
      <c r="N60" s="5"/>
    </row>
    <row r="61" spans="12:13" ht="12.75">
      <c r="L61" s="2"/>
      <c r="M61" s="2"/>
    </row>
    <row r="62" spans="12:13" ht="12.75">
      <c r="L62" s="2"/>
      <c r="M62" s="2"/>
    </row>
    <row r="63" spans="12:13" ht="12.75">
      <c r="L63" s="2"/>
      <c r="M63" s="2"/>
    </row>
    <row r="64" spans="12:13" ht="12.75">
      <c r="L64" s="2"/>
      <c r="M64" s="2"/>
    </row>
    <row r="65" spans="12:14" ht="12.75">
      <c r="L65" s="2"/>
      <c r="M65" s="2"/>
      <c r="N65" s="5"/>
    </row>
    <row r="66" spans="12:13" ht="12.75">
      <c r="L66" s="2"/>
      <c r="M66" s="2"/>
    </row>
    <row r="73" ht="12.75">
      <c r="N73" s="5"/>
    </row>
    <row r="74" ht="12.75">
      <c r="N74" s="5"/>
    </row>
    <row r="79" ht="12.75">
      <c r="T79" s="2"/>
    </row>
    <row r="80" ht="12.75">
      <c r="T80" s="2"/>
    </row>
    <row r="81" ht="12.75">
      <c r="T81" s="2"/>
    </row>
    <row r="82" ht="12.75">
      <c r="T82" s="2"/>
    </row>
    <row r="83" ht="12.75">
      <c r="T83" s="2"/>
    </row>
    <row r="84" ht="12.75">
      <c r="T8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111"/>
  <sheetViews>
    <sheetView tabSelected="1" workbookViewId="0" topLeftCell="A1">
      <pane ySplit="1800" topLeftCell="BM58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57421875" style="0" hidden="1" customWidth="1"/>
    <col min="4" max="4" width="8.7109375" style="0" hidden="1" customWidth="1"/>
    <col min="5" max="7" width="11.7109375" style="0" hidden="1" customWidth="1"/>
    <col min="8" max="8" width="8.7109375" style="0" hidden="1" customWidth="1"/>
    <col min="9" max="9" width="9.140625" style="0" hidden="1" customWidth="1"/>
    <col min="10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9" width="12.00390625" style="0" bestFit="1" customWidth="1"/>
    <col min="20" max="20" width="9.85156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437</v>
      </c>
      <c r="N3" s="53">
        <v>8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5" ht="12.75">
      <c r="A7" t="s">
        <v>604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82525.31</v>
      </c>
      <c r="M7" s="2">
        <v>88512</v>
      </c>
      <c r="N7" s="2">
        <v>48309</v>
      </c>
      <c r="O7" s="2">
        <f aca="true" t="shared" si="0" ref="O7:O52">+N7/$N$3*12</f>
        <v>72463.5</v>
      </c>
      <c r="P7" s="2">
        <v>88691.2</v>
      </c>
      <c r="Q7" s="2">
        <v>87568</v>
      </c>
      <c r="R7" s="2">
        <v>87568</v>
      </c>
      <c r="S7" s="2">
        <v>87568</v>
      </c>
      <c r="T7" s="75">
        <f aca="true" t="shared" si="1" ref="T7:T12">(S7-P7)/P7</f>
        <v>-0.01266416510318946</v>
      </c>
      <c r="W7" s="152"/>
      <c r="X7" s="136"/>
      <c r="Y7" s="152"/>
    </row>
    <row r="8" spans="1:24" ht="12.75">
      <c r="A8" t="s">
        <v>594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>
        <v>10150</v>
      </c>
      <c r="M8" s="2">
        <v>18530</v>
      </c>
      <c r="N8" s="2">
        <v>0</v>
      </c>
      <c r="O8" s="2"/>
      <c r="P8" s="2"/>
      <c r="Q8" s="19">
        <v>15000</v>
      </c>
      <c r="R8" s="19">
        <v>15000</v>
      </c>
      <c r="S8" s="2">
        <v>10000</v>
      </c>
      <c r="T8" s="75"/>
      <c r="X8" s="2"/>
    </row>
    <row r="9" spans="1:24" ht="12.75">
      <c r="A9" t="s">
        <v>126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1531</v>
      </c>
      <c r="M9" s="2"/>
      <c r="N9" s="2">
        <v>373</v>
      </c>
      <c r="O9" s="2">
        <f t="shared" si="0"/>
        <v>559.5</v>
      </c>
      <c r="P9" s="2"/>
      <c r="Q9" s="2"/>
      <c r="R9" s="2"/>
      <c r="S9" s="2"/>
      <c r="T9" s="75"/>
      <c r="X9" s="2"/>
    </row>
    <row r="10" spans="1:24" ht="12.75">
      <c r="A10" t="s">
        <v>448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10407</v>
      </c>
      <c r="M10" s="2">
        <v>12508</v>
      </c>
      <c r="N10" s="2">
        <v>6100</v>
      </c>
      <c r="O10" s="2">
        <f t="shared" si="0"/>
        <v>9150</v>
      </c>
      <c r="P10" s="28">
        <v>14760</v>
      </c>
      <c r="Q10" s="28">
        <v>14880</v>
      </c>
      <c r="R10" s="28">
        <f>4960*3</f>
        <v>14880</v>
      </c>
      <c r="S10" s="28">
        <v>14880</v>
      </c>
      <c r="T10" s="75">
        <f t="shared" si="1"/>
        <v>0.008130081300813009</v>
      </c>
      <c r="X10" s="2"/>
    </row>
    <row r="11" spans="1:24" ht="12.75">
      <c r="A11" t="s">
        <v>113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8955.68</v>
      </c>
      <c r="M11" s="2">
        <v>8844</v>
      </c>
      <c r="N11" s="2">
        <v>3740</v>
      </c>
      <c r="O11" s="2">
        <f t="shared" si="0"/>
        <v>5610</v>
      </c>
      <c r="P11" s="2">
        <v>7693.6968</v>
      </c>
      <c r="Q11" s="28">
        <f>(Q7+Q8+Q9+(Q28*0.66))*0.0765</f>
        <v>8856.252</v>
      </c>
      <c r="R11" s="28">
        <f>(R7+R8+R9+(R28*0.66))*0.0765</f>
        <v>8856.252</v>
      </c>
      <c r="S11" s="28">
        <f>(S7+S8+S9+(S28*0.66))*0.0765</f>
        <v>8473.752</v>
      </c>
      <c r="T11" s="75">
        <f t="shared" si="1"/>
        <v>0.10138886679287917</v>
      </c>
      <c r="X11" s="2"/>
    </row>
    <row r="12" spans="1:24" ht="12.75">
      <c r="A12" t="s">
        <v>185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733</v>
      </c>
      <c r="M12" s="2">
        <v>207</v>
      </c>
      <c r="N12" s="2">
        <v>141</v>
      </c>
      <c r="O12" s="2">
        <f t="shared" si="0"/>
        <v>211.5</v>
      </c>
      <c r="P12" s="19">
        <v>1000</v>
      </c>
      <c r="Q12" s="19">
        <v>2000</v>
      </c>
      <c r="R12" s="19">
        <v>1500</v>
      </c>
      <c r="S12" s="19">
        <v>1500</v>
      </c>
      <c r="T12" s="75">
        <f t="shared" si="1"/>
        <v>0.5</v>
      </c>
      <c r="X12" s="2"/>
    </row>
    <row r="13" spans="1:20" ht="12.75">
      <c r="A13" t="s">
        <v>140</v>
      </c>
      <c r="B13" s="4">
        <v>51.26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4583</v>
      </c>
      <c r="O13" s="2">
        <f t="shared" si="0"/>
        <v>6874.5</v>
      </c>
      <c r="P13" s="13"/>
      <c r="Q13" s="13"/>
      <c r="R13" s="13"/>
      <c r="S13" s="13"/>
      <c r="T13" s="75"/>
    </row>
    <row r="14" spans="1:20" ht="12.75" hidden="1">
      <c r="A14" t="s">
        <v>261</v>
      </c>
      <c r="B14" s="4">
        <v>52.1306</v>
      </c>
      <c r="C14" s="2"/>
      <c r="D14" s="2"/>
      <c r="E14" s="2">
        <v>120</v>
      </c>
      <c r="F14" s="2">
        <v>240</v>
      </c>
      <c r="G14" s="2">
        <v>60</v>
      </c>
      <c r="H14" s="2">
        <v>240</v>
      </c>
      <c r="I14" s="2"/>
      <c r="J14" s="2"/>
      <c r="K14" s="2"/>
      <c r="L14" s="2"/>
      <c r="M14" s="2"/>
      <c r="N14" s="2"/>
      <c r="O14" s="2">
        <f t="shared" si="0"/>
        <v>0</v>
      </c>
      <c r="P14" s="2"/>
      <c r="Q14" s="2"/>
      <c r="R14" s="2"/>
      <c r="S14" s="2"/>
      <c r="T14" s="75"/>
    </row>
    <row r="15" spans="1:20" ht="12.75" hidden="1">
      <c r="A15" t="s">
        <v>363</v>
      </c>
      <c r="B15" s="4">
        <v>52.21</v>
      </c>
      <c r="C15" s="2"/>
      <c r="D15" s="2"/>
      <c r="E15" s="2"/>
      <c r="F15" s="2">
        <v>400</v>
      </c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  <c r="P15" s="2"/>
      <c r="Q15" s="2"/>
      <c r="R15" s="2"/>
      <c r="S15" s="2"/>
      <c r="T15" s="75"/>
    </row>
    <row r="16" spans="2:20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</row>
    <row r="17" spans="1:24" ht="12.75">
      <c r="A17" t="s">
        <v>170</v>
      </c>
      <c r="B17" s="4">
        <v>52.211</v>
      </c>
      <c r="C17" s="2"/>
      <c r="D17" s="2"/>
      <c r="E17" s="2">
        <v>1890</v>
      </c>
      <c r="F17" s="2">
        <v>1666</v>
      </c>
      <c r="G17" s="2">
        <v>1472</v>
      </c>
      <c r="H17" s="2">
        <v>1999</v>
      </c>
      <c r="I17" s="2">
        <v>2277</v>
      </c>
      <c r="J17" s="2">
        <v>1935</v>
      </c>
      <c r="K17" s="2">
        <v>3631</v>
      </c>
      <c r="L17" s="2">
        <v>4326</v>
      </c>
      <c r="M17" s="2">
        <v>3042</v>
      </c>
      <c r="N17" s="2">
        <v>1464</v>
      </c>
      <c r="O17" s="2">
        <f t="shared" si="0"/>
        <v>2196</v>
      </c>
      <c r="P17" s="19">
        <v>2400</v>
      </c>
      <c r="Q17" s="19">
        <v>4200</v>
      </c>
      <c r="R17" s="19">
        <v>2500</v>
      </c>
      <c r="S17" s="19">
        <v>2500</v>
      </c>
      <c r="T17" s="75">
        <f>(S17-P17)/P17</f>
        <v>0.041666666666666664</v>
      </c>
      <c r="U17" s="13"/>
      <c r="X17" s="2"/>
    </row>
    <row r="18" spans="1:24" ht="12.75" hidden="1">
      <c r="A18" t="s">
        <v>262</v>
      </c>
      <c r="B18" s="4">
        <v>52.2205</v>
      </c>
      <c r="C18" s="2">
        <v>338</v>
      </c>
      <c r="D18" s="2">
        <v>540</v>
      </c>
      <c r="E18" s="2">
        <v>360</v>
      </c>
      <c r="F18" s="2">
        <v>119</v>
      </c>
      <c r="G18" s="2"/>
      <c r="H18" s="2">
        <v>95</v>
      </c>
      <c r="I18" s="2">
        <v>26</v>
      </c>
      <c r="J18" s="2"/>
      <c r="K18" s="2"/>
      <c r="L18" s="2"/>
      <c r="M18" s="2"/>
      <c r="N18" s="2"/>
      <c r="O18" s="2">
        <f t="shared" si="0"/>
        <v>0</v>
      </c>
      <c r="P18" s="19"/>
      <c r="Q18" s="19"/>
      <c r="R18" s="19"/>
      <c r="S18" s="19"/>
      <c r="T18" s="75"/>
      <c r="X18" s="2"/>
    </row>
    <row r="19" spans="1:24" ht="12.75">
      <c r="A19" t="s">
        <v>263</v>
      </c>
      <c r="B19" s="4">
        <v>52.2206</v>
      </c>
      <c r="C19" s="2">
        <v>610</v>
      </c>
      <c r="D19" s="2">
        <v>482</v>
      </c>
      <c r="E19" s="2">
        <v>157</v>
      </c>
      <c r="F19" s="2">
        <v>144</v>
      </c>
      <c r="G19" s="2">
        <v>55</v>
      </c>
      <c r="H19" s="2">
        <v>95</v>
      </c>
      <c r="I19" s="2">
        <v>20</v>
      </c>
      <c r="J19" s="2"/>
      <c r="K19" s="2">
        <v>2653</v>
      </c>
      <c r="L19" s="2"/>
      <c r="M19" s="2"/>
      <c r="N19" s="2">
        <v>365</v>
      </c>
      <c r="O19" s="2">
        <f t="shared" si="0"/>
        <v>547.5</v>
      </c>
      <c r="P19" s="2"/>
      <c r="Q19" s="2">
        <v>500</v>
      </c>
      <c r="R19" s="2"/>
      <c r="S19" s="2"/>
      <c r="T19" s="75"/>
      <c r="X19" s="2"/>
    </row>
    <row r="20" spans="1:24" ht="12.75">
      <c r="A20" t="s">
        <v>264</v>
      </c>
      <c r="B20" s="4">
        <v>52.3196</v>
      </c>
      <c r="C20" s="2">
        <v>3449</v>
      </c>
      <c r="D20" s="2">
        <v>2974</v>
      </c>
      <c r="E20" s="2">
        <v>1656</v>
      </c>
      <c r="F20" s="2">
        <v>2796</v>
      </c>
      <c r="G20" s="2">
        <v>3012</v>
      </c>
      <c r="H20" s="2">
        <v>3006</v>
      </c>
      <c r="I20" s="2">
        <v>3078</v>
      </c>
      <c r="J20" s="2">
        <v>2112</v>
      </c>
      <c r="K20" s="2">
        <v>2112</v>
      </c>
      <c r="L20" s="2">
        <v>1920</v>
      </c>
      <c r="M20" s="2">
        <v>1374</v>
      </c>
      <c r="N20" s="2">
        <v>0</v>
      </c>
      <c r="O20" s="2">
        <f t="shared" si="0"/>
        <v>0</v>
      </c>
      <c r="P20" s="2">
        <v>2100</v>
      </c>
      <c r="Q20" s="2">
        <v>2000</v>
      </c>
      <c r="R20" s="2">
        <v>2000</v>
      </c>
      <c r="S20" s="2">
        <v>2000</v>
      </c>
      <c r="T20" s="75">
        <f>(S20-P20)/P20</f>
        <v>-0.047619047619047616</v>
      </c>
      <c r="W20" s="2"/>
      <c r="X20" s="2"/>
    </row>
    <row r="21" spans="1:24" ht="12.75">
      <c r="A21" t="s">
        <v>115</v>
      </c>
      <c r="B21" s="4">
        <v>52.32</v>
      </c>
      <c r="C21" s="2">
        <v>1890</v>
      </c>
      <c r="D21" s="2">
        <v>1801</v>
      </c>
      <c r="E21" s="2">
        <v>2110</v>
      </c>
      <c r="F21" s="2">
        <v>1668</v>
      </c>
      <c r="G21" s="2">
        <v>1015</v>
      </c>
      <c r="H21" s="2">
        <v>1118</v>
      </c>
      <c r="I21" s="2">
        <v>1280</v>
      </c>
      <c r="J21" s="2">
        <v>2037</v>
      </c>
      <c r="K21" s="2">
        <v>2259</v>
      </c>
      <c r="L21" s="2">
        <v>2212</v>
      </c>
      <c r="M21" s="2">
        <v>1901</v>
      </c>
      <c r="N21" s="2">
        <v>1280</v>
      </c>
      <c r="O21" s="2">
        <f t="shared" si="0"/>
        <v>1920</v>
      </c>
      <c r="P21" s="2">
        <v>1100</v>
      </c>
      <c r="Q21" s="19">
        <v>1750</v>
      </c>
      <c r="R21" s="19">
        <v>1560</v>
      </c>
      <c r="S21" s="2">
        <v>1560</v>
      </c>
      <c r="T21" s="75">
        <f>(S21-P21)/P21</f>
        <v>0.41818181818181815</v>
      </c>
      <c r="X21" s="2"/>
    </row>
    <row r="22" spans="1:24" ht="12.75">
      <c r="A22" t="s">
        <v>116</v>
      </c>
      <c r="B22" s="4">
        <v>52.321</v>
      </c>
      <c r="C22" s="2">
        <v>236</v>
      </c>
      <c r="D22" s="2">
        <v>199</v>
      </c>
      <c r="E22" s="2">
        <v>206</v>
      </c>
      <c r="F22" s="2">
        <v>209</v>
      </c>
      <c r="G22" s="2">
        <v>180</v>
      </c>
      <c r="H22" s="2">
        <v>111</v>
      </c>
      <c r="I22" s="2">
        <v>74</v>
      </c>
      <c r="J22" s="2">
        <v>154</v>
      </c>
      <c r="K22" s="2">
        <v>41</v>
      </c>
      <c r="L22" s="2"/>
      <c r="M22" s="2">
        <v>50</v>
      </c>
      <c r="N22" s="2"/>
      <c r="O22" s="2">
        <f t="shared" si="0"/>
        <v>0</v>
      </c>
      <c r="P22" s="2">
        <v>100</v>
      </c>
      <c r="Q22" s="2">
        <v>100</v>
      </c>
      <c r="R22" s="2">
        <v>100</v>
      </c>
      <c r="S22" s="2">
        <v>100</v>
      </c>
      <c r="T22" s="75">
        <f>(S22-P22)/P22</f>
        <v>0</v>
      </c>
      <c r="X22" s="2"/>
    </row>
    <row r="23" spans="1:24" ht="12.75">
      <c r="A23" t="s">
        <v>128</v>
      </c>
      <c r="B23" s="4">
        <v>52.35</v>
      </c>
      <c r="C23" s="2">
        <v>285</v>
      </c>
      <c r="D23" s="2">
        <v>245</v>
      </c>
      <c r="E23" s="2">
        <v>746</v>
      </c>
      <c r="F23" s="2">
        <v>744</v>
      </c>
      <c r="G23" s="2">
        <v>590</v>
      </c>
      <c r="H23" s="2">
        <v>603</v>
      </c>
      <c r="I23" s="2">
        <v>788</v>
      </c>
      <c r="J23" s="2">
        <v>821</v>
      </c>
      <c r="K23" s="2">
        <v>362</v>
      </c>
      <c r="L23" s="2">
        <v>540</v>
      </c>
      <c r="M23" s="2"/>
      <c r="N23" s="2">
        <v>100</v>
      </c>
      <c r="O23" s="2">
        <f t="shared" si="0"/>
        <v>150</v>
      </c>
      <c r="P23" s="2"/>
      <c r="Q23" s="2">
        <v>500</v>
      </c>
      <c r="R23" s="2">
        <v>500</v>
      </c>
      <c r="S23" s="2">
        <v>500</v>
      </c>
      <c r="T23" s="75"/>
      <c r="X23" s="2"/>
    </row>
    <row r="24" spans="1:24" ht="12.75">
      <c r="A24" t="s">
        <v>118</v>
      </c>
      <c r="B24" s="4">
        <v>52.36</v>
      </c>
      <c r="C24" s="2">
        <v>775</v>
      </c>
      <c r="D24" s="2">
        <v>1010</v>
      </c>
      <c r="E24" s="2">
        <v>1525</v>
      </c>
      <c r="F24" s="2">
        <v>1350</v>
      </c>
      <c r="G24" s="2">
        <v>1685</v>
      </c>
      <c r="H24" s="2">
        <v>1795</v>
      </c>
      <c r="I24" s="2">
        <v>2433</v>
      </c>
      <c r="J24" s="2">
        <v>1855</v>
      </c>
      <c r="K24" s="2">
        <v>1320</v>
      </c>
      <c r="L24" s="2">
        <v>1491</v>
      </c>
      <c r="M24" s="2">
        <v>680</v>
      </c>
      <c r="N24" s="2">
        <v>710</v>
      </c>
      <c r="O24" s="2">
        <f t="shared" si="0"/>
        <v>1065</v>
      </c>
      <c r="P24" s="2">
        <v>1500</v>
      </c>
      <c r="Q24" s="2">
        <v>1500</v>
      </c>
      <c r="R24" s="2">
        <v>1500</v>
      </c>
      <c r="S24" s="2">
        <v>1500</v>
      </c>
      <c r="T24" s="75">
        <f>(S24-P24)/P24</f>
        <v>0</v>
      </c>
      <c r="X24" s="2"/>
    </row>
    <row r="25" spans="1:24" ht="12.75">
      <c r="A25" t="s">
        <v>554</v>
      </c>
      <c r="B25" s="4">
        <v>52.3702</v>
      </c>
      <c r="C25" s="2"/>
      <c r="D25" s="2"/>
      <c r="E25" s="2"/>
      <c r="F25" s="2"/>
      <c r="G25" s="2"/>
      <c r="H25" s="2">
        <v>1485</v>
      </c>
      <c r="I25" s="2"/>
      <c r="J25" s="2">
        <v>1223</v>
      </c>
      <c r="K25" s="2">
        <v>650</v>
      </c>
      <c r="L25" s="2">
        <v>650</v>
      </c>
      <c r="M25" s="2"/>
      <c r="N25" s="2"/>
      <c r="O25" s="2"/>
      <c r="P25" s="2"/>
      <c r="Q25" s="2"/>
      <c r="R25" s="2"/>
      <c r="S25" s="2"/>
      <c r="T25" s="75"/>
      <c r="X25" s="2"/>
    </row>
    <row r="26" spans="1:21" ht="12.75">
      <c r="A26" t="s">
        <v>129</v>
      </c>
      <c r="B26" s="4">
        <v>52.37</v>
      </c>
      <c r="C26" s="2"/>
      <c r="D26" s="2"/>
      <c r="E26" s="2"/>
      <c r="F26" s="2">
        <v>99</v>
      </c>
      <c r="G26" s="2">
        <v>156</v>
      </c>
      <c r="H26" s="2"/>
      <c r="I26" s="2"/>
      <c r="J26" s="2"/>
      <c r="K26" s="2">
        <v>245</v>
      </c>
      <c r="L26" s="2">
        <v>60</v>
      </c>
      <c r="M26" s="2"/>
      <c r="N26" s="2">
        <v>45</v>
      </c>
      <c r="O26" s="2"/>
      <c r="P26" s="2"/>
      <c r="Q26" s="2">
        <v>750</v>
      </c>
      <c r="R26" s="2">
        <v>500</v>
      </c>
      <c r="S26" s="2">
        <v>500</v>
      </c>
      <c r="T26" s="75"/>
      <c r="U26" s="10"/>
    </row>
    <row r="27" spans="1:21" ht="12.75">
      <c r="A27" t="s">
        <v>514</v>
      </c>
      <c r="B27" s="4">
        <v>52.3851</v>
      </c>
      <c r="C27" s="2"/>
      <c r="D27" s="2"/>
      <c r="E27" s="2"/>
      <c r="F27" s="2"/>
      <c r="G27" s="2"/>
      <c r="H27" s="2">
        <v>615</v>
      </c>
      <c r="I27" s="2">
        <v>975</v>
      </c>
      <c r="J27" s="2">
        <v>1174</v>
      </c>
      <c r="K27" s="2">
        <v>500</v>
      </c>
      <c r="L27" s="2"/>
      <c r="M27" s="2"/>
      <c r="N27" s="2">
        <v>0</v>
      </c>
      <c r="O27" s="2"/>
      <c r="P27" s="2">
        <v>300</v>
      </c>
      <c r="Q27" s="2">
        <v>1500</v>
      </c>
      <c r="R27" s="2"/>
      <c r="S27" s="2"/>
      <c r="T27" s="75"/>
      <c r="U27" s="10"/>
    </row>
    <row r="28" spans="1:21" ht="12.75">
      <c r="A28" t="s">
        <v>265</v>
      </c>
      <c r="B28" s="4">
        <v>52.386</v>
      </c>
      <c r="C28" s="2">
        <v>8404</v>
      </c>
      <c r="D28" s="2">
        <v>8252</v>
      </c>
      <c r="E28" s="2">
        <v>14122</v>
      </c>
      <c r="F28" s="2">
        <v>23531</v>
      </c>
      <c r="G28" s="2">
        <v>27945</v>
      </c>
      <c r="H28" s="2">
        <v>30045</v>
      </c>
      <c r="I28" s="2">
        <v>31042</v>
      </c>
      <c r="J28" s="2">
        <v>25674</v>
      </c>
      <c r="K28" s="2">
        <v>30297</v>
      </c>
      <c r="L28" s="2">
        <v>30145</v>
      </c>
      <c r="M28" s="2">
        <v>15149</v>
      </c>
      <c r="N28" s="2">
        <v>5235</v>
      </c>
      <c r="O28" s="2">
        <f>N28*2</f>
        <v>10470</v>
      </c>
      <c r="P28" s="2">
        <v>18000</v>
      </c>
      <c r="Q28" s="2">
        <v>20000</v>
      </c>
      <c r="R28" s="2">
        <v>20000</v>
      </c>
      <c r="S28" s="2">
        <v>20000</v>
      </c>
      <c r="T28" s="75">
        <f>(S28-P28)/P28</f>
        <v>0.1111111111111111</v>
      </c>
      <c r="U28" t="s">
        <v>665</v>
      </c>
    </row>
    <row r="29" spans="15:20" ht="12.75">
      <c r="O29" s="2"/>
      <c r="T29" s="75"/>
    </row>
    <row r="30" spans="1:20" ht="12.75">
      <c r="A30" t="s">
        <v>122</v>
      </c>
      <c r="B30" s="4">
        <v>53.12</v>
      </c>
      <c r="C30" s="2">
        <v>23234</v>
      </c>
      <c r="D30" s="2">
        <v>27139</v>
      </c>
      <c r="E30" s="2">
        <v>21920</v>
      </c>
      <c r="F30" s="2">
        <v>20332</v>
      </c>
      <c r="G30" s="2">
        <v>22674</v>
      </c>
      <c r="H30" s="2">
        <v>19984</v>
      </c>
      <c r="I30" s="2">
        <f>21345+2056</f>
        <v>23401</v>
      </c>
      <c r="J30" s="2">
        <v>28344</v>
      </c>
      <c r="K30" s="2">
        <v>41348</v>
      </c>
      <c r="L30" s="2">
        <v>45321</v>
      </c>
      <c r="M30" s="2">
        <v>44482</v>
      </c>
      <c r="N30" s="2">
        <v>27264</v>
      </c>
      <c r="O30" s="2">
        <f t="shared" si="0"/>
        <v>40896</v>
      </c>
      <c r="P30" s="2">
        <v>42000</v>
      </c>
      <c r="Q30" s="2">
        <v>45000</v>
      </c>
      <c r="R30" s="2">
        <v>42000</v>
      </c>
      <c r="S30" s="2">
        <v>42000</v>
      </c>
      <c r="T30" s="75">
        <f>(S30-P30)/P30</f>
        <v>0</v>
      </c>
    </row>
    <row r="31" spans="1:20" ht="12.75">
      <c r="A31" t="s">
        <v>266</v>
      </c>
      <c r="B31" s="4">
        <v>53.132</v>
      </c>
      <c r="C31" s="2">
        <v>3113</v>
      </c>
      <c r="D31" s="2">
        <v>6803</v>
      </c>
      <c r="E31" s="2">
        <v>7360</v>
      </c>
      <c r="F31" s="2">
        <v>8843</v>
      </c>
      <c r="G31" s="2">
        <v>9983</v>
      </c>
      <c r="H31" s="2">
        <v>3996</v>
      </c>
      <c r="I31" s="2">
        <f>6027+436</f>
        <v>6463</v>
      </c>
      <c r="J31" s="2">
        <v>6248</v>
      </c>
      <c r="K31" s="2">
        <v>9013</v>
      </c>
      <c r="L31" s="2">
        <f>6620+298</f>
        <v>6918</v>
      </c>
      <c r="M31" s="2">
        <v>3043</v>
      </c>
      <c r="N31" s="2">
        <v>111</v>
      </c>
      <c r="O31" s="2">
        <f t="shared" si="0"/>
        <v>166.5</v>
      </c>
      <c r="P31" s="2"/>
      <c r="Q31" s="2">
        <v>5000</v>
      </c>
      <c r="R31" s="2">
        <v>5000</v>
      </c>
      <c r="S31" s="2">
        <v>5000</v>
      </c>
      <c r="T31" s="75"/>
    </row>
    <row r="32" spans="1:20" ht="12.75">
      <c r="A32" t="s">
        <v>174</v>
      </c>
      <c r="B32" s="4">
        <v>53.1702</v>
      </c>
      <c r="C32" s="2">
        <v>577</v>
      </c>
      <c r="D32" s="2">
        <v>467</v>
      </c>
      <c r="E32" s="2">
        <v>1231</v>
      </c>
      <c r="F32" s="2">
        <v>1100</v>
      </c>
      <c r="G32" s="2">
        <v>1068</v>
      </c>
      <c r="H32" s="2">
        <v>721</v>
      </c>
      <c r="I32" s="2">
        <v>296</v>
      </c>
      <c r="J32" s="2">
        <v>585</v>
      </c>
      <c r="K32" s="2">
        <v>194</v>
      </c>
      <c r="L32" s="2">
        <v>547</v>
      </c>
      <c r="M32" s="2">
        <v>472</v>
      </c>
      <c r="N32" s="2">
        <v>63</v>
      </c>
      <c r="O32" s="2">
        <f>+N32/$N$3*12</f>
        <v>94.5</v>
      </c>
      <c r="P32" s="2">
        <v>500</v>
      </c>
      <c r="Q32" s="2">
        <v>750</v>
      </c>
      <c r="R32" s="2">
        <v>750</v>
      </c>
      <c r="S32" s="2">
        <v>750</v>
      </c>
      <c r="T32" s="75">
        <f>(S32-P32)/P32</f>
        <v>0.5</v>
      </c>
    </row>
    <row r="33" spans="1:21" ht="12.75">
      <c r="A33" t="s">
        <v>267</v>
      </c>
      <c r="B33" s="4">
        <v>53.1707</v>
      </c>
      <c r="C33" s="2">
        <v>14332</v>
      </c>
      <c r="D33" s="2">
        <v>23324</v>
      </c>
      <c r="E33" s="2">
        <v>18418</v>
      </c>
      <c r="F33" s="2">
        <v>19406</v>
      </c>
      <c r="G33" s="2">
        <v>19507</v>
      </c>
      <c r="H33" s="2">
        <v>24240</v>
      </c>
      <c r="I33" s="2">
        <f>28568+1460</f>
        <v>30028</v>
      </c>
      <c r="J33" s="2">
        <v>24022</v>
      </c>
      <c r="K33" s="2">
        <f>19303+4298</f>
        <v>23601</v>
      </c>
      <c r="L33" s="2">
        <v>7676</v>
      </c>
      <c r="M33" s="2">
        <v>12322</v>
      </c>
      <c r="N33" s="2">
        <v>150</v>
      </c>
      <c r="O33" s="2">
        <f>+N33/$N$3*12</f>
        <v>225</v>
      </c>
      <c r="P33" s="2">
        <v>10000</v>
      </c>
      <c r="Q33" s="2">
        <v>10000</v>
      </c>
      <c r="R33" s="2">
        <v>10000</v>
      </c>
      <c r="S33" s="2">
        <v>10000</v>
      </c>
      <c r="T33" s="75">
        <f>(S33-P33)/P33</f>
        <v>0</v>
      </c>
      <c r="U33" t="s">
        <v>464</v>
      </c>
    </row>
    <row r="34" spans="1:21" ht="12.75">
      <c r="A34" t="s">
        <v>268</v>
      </c>
      <c r="B34" s="4">
        <v>53.1708</v>
      </c>
      <c r="C34" s="2">
        <v>2487</v>
      </c>
      <c r="D34" s="2">
        <v>4131</v>
      </c>
      <c r="E34" s="2">
        <v>3442</v>
      </c>
      <c r="F34" s="2">
        <v>3805</v>
      </c>
      <c r="G34" s="2">
        <v>3095</v>
      </c>
      <c r="H34" s="2">
        <v>3347</v>
      </c>
      <c r="I34" s="2">
        <v>1911</v>
      </c>
      <c r="J34" s="2">
        <v>3435</v>
      </c>
      <c r="K34" s="2">
        <v>2872</v>
      </c>
      <c r="L34" s="2">
        <v>3972</v>
      </c>
      <c r="M34" s="2">
        <v>1943</v>
      </c>
      <c r="N34" s="2">
        <v>16</v>
      </c>
      <c r="O34" s="2"/>
      <c r="P34" s="2">
        <v>2500</v>
      </c>
      <c r="Q34" s="2">
        <v>2500</v>
      </c>
      <c r="R34" s="2">
        <v>2500</v>
      </c>
      <c r="S34" s="2">
        <v>2500</v>
      </c>
      <c r="T34" s="75">
        <f>(S34-P34)/P34</f>
        <v>0</v>
      </c>
      <c r="U34" t="s">
        <v>464</v>
      </c>
    </row>
    <row r="35" spans="1:20" ht="12.75" hidden="1">
      <c r="A35" t="s">
        <v>269</v>
      </c>
      <c r="B35" s="4">
        <v>53.1709</v>
      </c>
      <c r="C35" s="2">
        <v>1366</v>
      </c>
      <c r="D35" s="2">
        <v>1479</v>
      </c>
      <c r="E35" s="2">
        <v>1321</v>
      </c>
      <c r="F35" s="2">
        <v>2177</v>
      </c>
      <c r="G35" s="2"/>
      <c r="H35" s="2">
        <v>331</v>
      </c>
      <c r="I35" s="2"/>
      <c r="J35" s="2"/>
      <c r="K35" s="2"/>
      <c r="L35" s="2"/>
      <c r="M35" s="2"/>
      <c r="N35" s="2"/>
      <c r="O35" s="2">
        <f t="shared" si="0"/>
        <v>0</v>
      </c>
      <c r="P35" s="2"/>
      <c r="Q35" s="2"/>
      <c r="R35" s="2"/>
      <c r="S35" s="2"/>
      <c r="T35" s="75"/>
    </row>
    <row r="36" spans="1:20" ht="12.75">
      <c r="A36" t="s">
        <v>910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2500</v>
      </c>
      <c r="R36" s="2">
        <v>2500</v>
      </c>
      <c r="S36" s="2">
        <v>2500</v>
      </c>
      <c r="T36" s="75"/>
    </row>
    <row r="37" spans="1:20" ht="12.75">
      <c r="A37" t="s">
        <v>123</v>
      </c>
      <c r="B37" s="4">
        <v>53.171</v>
      </c>
      <c r="C37" s="2">
        <v>722</v>
      </c>
      <c r="D37" s="2">
        <v>585</v>
      </c>
      <c r="E37" s="2">
        <v>842</v>
      </c>
      <c r="F37" s="2">
        <v>850</v>
      </c>
      <c r="G37" s="2">
        <v>665</v>
      </c>
      <c r="H37" s="2">
        <v>944</v>
      </c>
      <c r="I37" s="2">
        <v>1100</v>
      </c>
      <c r="J37" s="2">
        <v>551</v>
      </c>
      <c r="K37" s="2">
        <v>522</v>
      </c>
      <c r="L37" s="2">
        <v>417</v>
      </c>
      <c r="M37" s="2">
        <v>690</v>
      </c>
      <c r="N37" s="2">
        <v>280</v>
      </c>
      <c r="O37" s="2">
        <f t="shared" si="0"/>
        <v>420</v>
      </c>
      <c r="P37" s="2">
        <v>500</v>
      </c>
      <c r="Q37" s="2">
        <v>500</v>
      </c>
      <c r="R37" s="2">
        <v>500</v>
      </c>
      <c r="S37" s="2">
        <v>500</v>
      </c>
      <c r="T37" s="75">
        <f aca="true" t="shared" si="2" ref="T37:T48">(S37-P37)/P37</f>
        <v>0</v>
      </c>
    </row>
    <row r="38" spans="1:20" ht="12.75">
      <c r="A38" t="s">
        <v>270</v>
      </c>
      <c r="B38" s="4">
        <v>53.1712</v>
      </c>
      <c r="C38" s="2">
        <v>416</v>
      </c>
      <c r="D38" s="2">
        <v>659</v>
      </c>
      <c r="E38" s="2">
        <v>593</v>
      </c>
      <c r="F38" s="2">
        <v>829</v>
      </c>
      <c r="G38" s="2">
        <v>150</v>
      </c>
      <c r="H38" s="2">
        <v>315</v>
      </c>
      <c r="I38" s="2">
        <v>727</v>
      </c>
      <c r="J38" s="2">
        <v>740</v>
      </c>
      <c r="K38" s="2">
        <v>92</v>
      </c>
      <c r="L38" s="2">
        <v>179</v>
      </c>
      <c r="M38" s="2"/>
      <c r="N38" s="2">
        <v>0</v>
      </c>
      <c r="O38" s="2">
        <f t="shared" si="0"/>
        <v>0</v>
      </c>
      <c r="P38" s="2">
        <v>300</v>
      </c>
      <c r="Q38" s="2">
        <v>300</v>
      </c>
      <c r="R38" s="2">
        <v>300</v>
      </c>
      <c r="S38" s="2">
        <v>300</v>
      </c>
      <c r="T38" s="75">
        <f t="shared" si="2"/>
        <v>0</v>
      </c>
    </row>
    <row r="39" spans="1:20" ht="12.75">
      <c r="A39" t="s">
        <v>271</v>
      </c>
      <c r="B39" s="4">
        <v>53.1713</v>
      </c>
      <c r="C39" s="2">
        <v>1819</v>
      </c>
      <c r="D39" s="2">
        <v>1959</v>
      </c>
      <c r="E39" s="2">
        <v>1603</v>
      </c>
      <c r="F39" s="2">
        <v>1915</v>
      </c>
      <c r="G39" s="2">
        <v>2216</v>
      </c>
      <c r="H39" s="2">
        <v>2001</v>
      </c>
      <c r="I39" s="2">
        <v>820</v>
      </c>
      <c r="J39" s="2">
        <v>216</v>
      </c>
      <c r="K39" s="2">
        <v>474</v>
      </c>
      <c r="L39" s="2">
        <v>148</v>
      </c>
      <c r="M39" s="2">
        <v>60</v>
      </c>
      <c r="N39" s="2">
        <v>0</v>
      </c>
      <c r="O39" s="2">
        <f t="shared" si="0"/>
        <v>0</v>
      </c>
      <c r="P39" s="2">
        <v>200</v>
      </c>
      <c r="Q39" s="2">
        <v>200</v>
      </c>
      <c r="R39" s="2">
        <v>200</v>
      </c>
      <c r="S39" s="2">
        <v>200</v>
      </c>
      <c r="T39" s="75">
        <f t="shared" si="2"/>
        <v>0</v>
      </c>
    </row>
    <row r="40" spans="1:20" ht="12.75">
      <c r="A40" t="s">
        <v>272</v>
      </c>
      <c r="B40" s="4">
        <v>53.1714</v>
      </c>
      <c r="C40" s="2">
        <v>417</v>
      </c>
      <c r="D40" s="2">
        <v>495</v>
      </c>
      <c r="E40" s="2">
        <v>880</v>
      </c>
      <c r="F40" s="2">
        <v>441</v>
      </c>
      <c r="G40" s="2">
        <v>500</v>
      </c>
      <c r="H40" s="2">
        <v>691</v>
      </c>
      <c r="I40" s="2">
        <v>693</v>
      </c>
      <c r="J40" s="2">
        <v>199</v>
      </c>
      <c r="K40" s="2">
        <v>423</v>
      </c>
      <c r="L40" s="2">
        <v>240</v>
      </c>
      <c r="M40" s="2"/>
      <c r="N40" s="2"/>
      <c r="O40" s="2"/>
      <c r="P40" s="2"/>
      <c r="Q40" s="2"/>
      <c r="R40" s="2"/>
      <c r="S40" s="2"/>
      <c r="T40" s="75"/>
    </row>
    <row r="41" spans="1:20" ht="12.75">
      <c r="A41" t="s">
        <v>941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1000</v>
      </c>
      <c r="R41" s="2">
        <v>1000</v>
      </c>
      <c r="S41" s="2">
        <v>1000</v>
      </c>
      <c r="T41" s="75"/>
    </row>
    <row r="42" spans="1:21" ht="12.75">
      <c r="A42" t="s">
        <v>365</v>
      </c>
      <c r="B42" s="4">
        <v>53.1718</v>
      </c>
      <c r="C42" s="2"/>
      <c r="D42" s="2"/>
      <c r="E42" s="2"/>
      <c r="F42" s="2"/>
      <c r="G42" s="2">
        <v>958</v>
      </c>
      <c r="H42" s="2">
        <v>925</v>
      </c>
      <c r="I42" s="2">
        <v>969</v>
      </c>
      <c r="J42" s="2">
        <v>710</v>
      </c>
      <c r="K42" s="2">
        <v>648</v>
      </c>
      <c r="L42" s="2">
        <v>778</v>
      </c>
      <c r="M42" s="2">
        <v>791</v>
      </c>
      <c r="N42" s="2">
        <v>150</v>
      </c>
      <c r="O42" s="2">
        <f t="shared" si="0"/>
        <v>225</v>
      </c>
      <c r="P42" s="2">
        <v>1000</v>
      </c>
      <c r="Q42" s="2">
        <v>1000</v>
      </c>
      <c r="R42" s="2">
        <v>1000</v>
      </c>
      <c r="S42" s="2">
        <v>1000</v>
      </c>
      <c r="T42" s="75">
        <f t="shared" si="2"/>
        <v>0</v>
      </c>
      <c r="U42" t="s">
        <v>464</v>
      </c>
    </row>
    <row r="43" spans="1:20" ht="12.75">
      <c r="A43" t="s">
        <v>273</v>
      </c>
      <c r="B43" s="4">
        <v>53.172</v>
      </c>
      <c r="C43" s="2">
        <v>27989</v>
      </c>
      <c r="D43" s="2">
        <v>11132</v>
      </c>
      <c r="E43" s="2">
        <v>13023</v>
      </c>
      <c r="F43" s="2">
        <v>14225</v>
      </c>
      <c r="G43" s="2">
        <v>15837</v>
      </c>
      <c r="H43" s="2">
        <v>14353</v>
      </c>
      <c r="I43" s="2">
        <f>7919+208</f>
        <v>8127</v>
      </c>
      <c r="J43" s="2">
        <v>16264</v>
      </c>
      <c r="K43" s="2">
        <f>19961+8</f>
        <v>19969</v>
      </c>
      <c r="L43" s="2">
        <f>20321+50</f>
        <v>20371</v>
      </c>
      <c r="M43" s="2">
        <v>18844</v>
      </c>
      <c r="N43" s="2">
        <v>16629</v>
      </c>
      <c r="O43" s="2">
        <f t="shared" si="0"/>
        <v>24943.5</v>
      </c>
      <c r="P43" s="2">
        <v>15000</v>
      </c>
      <c r="Q43" s="19">
        <v>18000</v>
      </c>
      <c r="R43" s="19">
        <v>18000</v>
      </c>
      <c r="S43" s="19">
        <v>18000</v>
      </c>
      <c r="T43" s="75">
        <f t="shared" si="2"/>
        <v>0.2</v>
      </c>
    </row>
    <row r="44" spans="1:20" ht="12.75">
      <c r="A44" t="s">
        <v>942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250</v>
      </c>
      <c r="R44" s="2">
        <v>250</v>
      </c>
      <c r="S44" s="2">
        <v>250</v>
      </c>
      <c r="T44" s="75"/>
    </row>
    <row r="45" spans="1:20" ht="12.75">
      <c r="A45" t="s">
        <v>833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125</v>
      </c>
      <c r="M45" s="2"/>
      <c r="N45" s="2"/>
      <c r="O45" s="2"/>
      <c r="P45" s="2"/>
      <c r="Q45" s="2"/>
      <c r="R45" s="2"/>
      <c r="S45" s="2"/>
      <c r="T45" s="75"/>
    </row>
    <row r="46" spans="1:20" ht="12.75">
      <c r="A46" t="s">
        <v>213</v>
      </c>
      <c r="B46" s="4">
        <v>53.174</v>
      </c>
      <c r="C46" s="2"/>
      <c r="D46" s="2">
        <v>16</v>
      </c>
      <c r="E46" s="2">
        <v>550</v>
      </c>
      <c r="F46" s="2">
        <v>830</v>
      </c>
      <c r="G46" s="2">
        <v>1214</v>
      </c>
      <c r="H46" s="2">
        <v>660</v>
      </c>
      <c r="I46" s="2">
        <v>597</v>
      </c>
      <c r="J46" s="2">
        <v>395</v>
      </c>
      <c r="K46" s="2">
        <v>634</v>
      </c>
      <c r="L46" s="2">
        <v>51</v>
      </c>
      <c r="M46" s="2"/>
      <c r="N46" s="2">
        <v>3491</v>
      </c>
      <c r="O46" s="2"/>
      <c r="P46" s="2">
        <v>300</v>
      </c>
      <c r="Q46" s="2">
        <v>300</v>
      </c>
      <c r="R46" s="2">
        <v>300</v>
      </c>
      <c r="S46" s="2">
        <v>300</v>
      </c>
      <c r="T46" s="75">
        <f t="shared" si="2"/>
        <v>0</v>
      </c>
    </row>
    <row r="47" spans="1:20" ht="12.75">
      <c r="A47" t="s">
        <v>162</v>
      </c>
      <c r="B47" s="4">
        <v>53.175</v>
      </c>
      <c r="C47" s="2">
        <v>1392</v>
      </c>
      <c r="D47" s="2">
        <v>688</v>
      </c>
      <c r="E47" s="2">
        <v>903</v>
      </c>
      <c r="F47" s="2">
        <v>841</v>
      </c>
      <c r="G47" s="2">
        <v>762</v>
      </c>
      <c r="H47" s="2">
        <v>691</v>
      </c>
      <c r="I47" s="2">
        <v>411</v>
      </c>
      <c r="J47" s="2">
        <v>857</v>
      </c>
      <c r="K47" s="2">
        <v>1096</v>
      </c>
      <c r="L47" s="2">
        <v>942</v>
      </c>
      <c r="M47" s="2">
        <v>903</v>
      </c>
      <c r="N47" s="2">
        <v>3386</v>
      </c>
      <c r="O47" s="2">
        <f t="shared" si="0"/>
        <v>5079</v>
      </c>
      <c r="P47" s="2">
        <v>750</v>
      </c>
      <c r="Q47" s="2">
        <v>2500</v>
      </c>
      <c r="R47" s="2">
        <v>2500</v>
      </c>
      <c r="S47" s="2">
        <v>1500</v>
      </c>
      <c r="T47" s="75">
        <f t="shared" si="2"/>
        <v>1</v>
      </c>
    </row>
    <row r="48" spans="1:20" ht="12.75">
      <c r="A48" t="s">
        <v>151</v>
      </c>
      <c r="B48" s="4">
        <v>53.176</v>
      </c>
      <c r="C48" s="2">
        <v>234</v>
      </c>
      <c r="D48" s="2">
        <v>82</v>
      </c>
      <c r="E48" s="2">
        <v>80</v>
      </c>
      <c r="F48" s="2">
        <v>88</v>
      </c>
      <c r="G48" s="2">
        <v>101</v>
      </c>
      <c r="H48" s="2">
        <v>25</v>
      </c>
      <c r="I48" s="2">
        <v>94</v>
      </c>
      <c r="J48" s="2">
        <v>91</v>
      </c>
      <c r="K48" s="2">
        <v>126</v>
      </c>
      <c r="L48" s="2">
        <v>112</v>
      </c>
      <c r="M48" s="2">
        <v>30</v>
      </c>
      <c r="N48" s="2">
        <v>109</v>
      </c>
      <c r="O48" s="2">
        <f t="shared" si="0"/>
        <v>163.5</v>
      </c>
      <c r="P48" s="2">
        <v>100</v>
      </c>
      <c r="Q48" s="2">
        <v>125</v>
      </c>
      <c r="R48" s="2">
        <v>125</v>
      </c>
      <c r="S48" s="2">
        <v>125</v>
      </c>
      <c r="T48" s="75">
        <f t="shared" si="2"/>
        <v>0.25</v>
      </c>
    </row>
    <row r="49" spans="1:20" ht="12.75">
      <c r="A49" t="s">
        <v>152</v>
      </c>
      <c r="B49" s="4">
        <v>53.177</v>
      </c>
      <c r="C49" s="2">
        <v>118</v>
      </c>
      <c r="D49" s="2">
        <v>345</v>
      </c>
      <c r="E49" s="2">
        <v>226</v>
      </c>
      <c r="F49" s="2">
        <v>264</v>
      </c>
      <c r="G49" s="2">
        <v>43</v>
      </c>
      <c r="H49" s="2"/>
      <c r="I49" s="2"/>
      <c r="J49" s="2">
        <v>748</v>
      </c>
      <c r="K49" s="2">
        <v>9</v>
      </c>
      <c r="L49" s="2">
        <v>401</v>
      </c>
      <c r="M49" s="2"/>
      <c r="N49" s="11"/>
      <c r="O49" s="2">
        <f t="shared" si="0"/>
        <v>0</v>
      </c>
      <c r="P49" s="2"/>
      <c r="Q49" s="2">
        <v>500</v>
      </c>
      <c r="R49" s="2">
        <v>300</v>
      </c>
      <c r="S49" s="2">
        <v>300</v>
      </c>
      <c r="T49" s="75"/>
    </row>
    <row r="50" spans="1:20" ht="12.75">
      <c r="A50" t="s">
        <v>165</v>
      </c>
      <c r="B50" s="4">
        <v>53.178</v>
      </c>
      <c r="C50" s="2">
        <v>82</v>
      </c>
      <c r="D50" s="2">
        <v>87</v>
      </c>
      <c r="E50" s="2"/>
      <c r="F50" s="2">
        <v>110</v>
      </c>
      <c r="G50" s="2"/>
      <c r="H50" s="2">
        <v>82</v>
      </c>
      <c r="I50" s="2"/>
      <c r="J50" s="2"/>
      <c r="K50" s="2">
        <v>2288</v>
      </c>
      <c r="L50" s="2"/>
      <c r="M50" s="2"/>
      <c r="O50" s="2">
        <f t="shared" si="0"/>
        <v>0</v>
      </c>
      <c r="P50" s="2"/>
      <c r="Q50" s="2"/>
      <c r="R50" s="2"/>
      <c r="S50" s="2"/>
      <c r="T50" s="75"/>
    </row>
    <row r="51" spans="1:20" ht="12.75">
      <c r="A51" t="s">
        <v>153</v>
      </c>
      <c r="B51" s="4">
        <v>53.179</v>
      </c>
      <c r="C51" s="2">
        <v>635</v>
      </c>
      <c r="D51" s="2">
        <v>1069</v>
      </c>
      <c r="E51" s="2">
        <v>1260</v>
      </c>
      <c r="F51" s="2">
        <v>817</v>
      </c>
      <c r="G51" s="2">
        <v>1189</v>
      </c>
      <c r="H51" s="2">
        <v>1168</v>
      </c>
      <c r="I51" s="2">
        <v>1893</v>
      </c>
      <c r="J51" s="2">
        <v>1971</v>
      </c>
      <c r="K51" s="2">
        <v>169</v>
      </c>
      <c r="L51" s="2">
        <v>4137</v>
      </c>
      <c r="M51" s="2">
        <v>2989</v>
      </c>
      <c r="N51" s="2">
        <v>1760</v>
      </c>
      <c r="O51" s="2">
        <f t="shared" si="0"/>
        <v>2640</v>
      </c>
      <c r="P51" s="2">
        <v>2600</v>
      </c>
      <c r="Q51" s="2">
        <v>3500</v>
      </c>
      <c r="R51" s="2">
        <v>3500</v>
      </c>
      <c r="S51" s="2">
        <v>3000</v>
      </c>
      <c r="T51" s="75">
        <f>(S51-P51)/P51</f>
        <v>0.15384615384615385</v>
      </c>
    </row>
    <row r="52" spans="1:20" ht="12.75">
      <c r="A52" t="s">
        <v>215</v>
      </c>
      <c r="B52" s="4">
        <v>53.18</v>
      </c>
      <c r="C52" s="2">
        <v>81</v>
      </c>
      <c r="D52" s="2">
        <v>113</v>
      </c>
      <c r="E52" s="2">
        <v>101</v>
      </c>
      <c r="F52" s="2">
        <v>75</v>
      </c>
      <c r="G52" s="2">
        <v>37</v>
      </c>
      <c r="H52" s="2"/>
      <c r="I52" s="2">
        <v>58</v>
      </c>
      <c r="J52" s="2">
        <v>192</v>
      </c>
      <c r="K52" s="2"/>
      <c r="L52" s="2">
        <v>342</v>
      </c>
      <c r="M52" s="2">
        <v>314</v>
      </c>
      <c r="N52" s="11">
        <v>132</v>
      </c>
      <c r="O52" s="2">
        <f t="shared" si="0"/>
        <v>198</v>
      </c>
      <c r="P52" s="2">
        <v>300</v>
      </c>
      <c r="Q52" s="2">
        <v>500</v>
      </c>
      <c r="R52" s="2">
        <v>500</v>
      </c>
      <c r="S52" s="2">
        <v>500</v>
      </c>
      <c r="T52" s="75"/>
    </row>
    <row r="53" spans="2:22" ht="12.75">
      <c r="B53" s="4"/>
      <c r="C53" s="2"/>
      <c r="D53" s="2"/>
      <c r="E53" s="2"/>
      <c r="F53" s="2"/>
      <c r="G53" s="2"/>
      <c r="H53" s="2"/>
      <c r="I53" s="2">
        <v>18</v>
      </c>
      <c r="J53" s="2"/>
      <c r="K53" s="2"/>
      <c r="L53" s="2"/>
      <c r="M53" s="2"/>
      <c r="N53" s="11"/>
      <c r="O53" s="2"/>
      <c r="P53" s="2"/>
      <c r="Q53" s="2"/>
      <c r="R53" s="2"/>
      <c r="S53" s="2"/>
      <c r="T53" s="75"/>
      <c r="V53" s="2"/>
    </row>
    <row r="54" spans="1:20" ht="12.75">
      <c r="A54" t="s">
        <v>509</v>
      </c>
      <c r="B54" s="4">
        <v>54.24</v>
      </c>
      <c r="C54" s="2"/>
      <c r="D54" s="2"/>
      <c r="E54" s="2"/>
      <c r="F54" s="2"/>
      <c r="G54" s="2"/>
      <c r="H54" s="2"/>
      <c r="I54" s="2">
        <v>534</v>
      </c>
      <c r="J54" s="2"/>
      <c r="K54" s="2"/>
      <c r="L54" s="2"/>
      <c r="M54" s="2"/>
      <c r="N54" s="2">
        <v>1636</v>
      </c>
      <c r="O54" s="2">
        <v>1636</v>
      </c>
      <c r="P54" s="2"/>
      <c r="Q54" s="2"/>
      <c r="R54" s="2"/>
      <c r="S54" s="2"/>
      <c r="T54" s="75"/>
    </row>
    <row r="55" spans="1:20" ht="12.75">
      <c r="A55" t="s">
        <v>323</v>
      </c>
      <c r="B55" s="4">
        <v>54.25</v>
      </c>
      <c r="C55" s="2"/>
      <c r="D55" s="2">
        <v>24788</v>
      </c>
      <c r="E55" s="2">
        <v>3233</v>
      </c>
      <c r="F55" s="2">
        <v>12167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75"/>
    </row>
    <row r="56" spans="2:20" ht="12.75"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75"/>
    </row>
    <row r="57" spans="1:21" ht="12.75">
      <c r="A57" t="s">
        <v>876</v>
      </c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-30623</v>
      </c>
      <c r="Q57" s="2"/>
      <c r="R57" s="2"/>
      <c r="S57" s="2"/>
      <c r="T57" s="149"/>
      <c r="U57" s="2"/>
    </row>
    <row r="58" spans="1:20" ht="12.75">
      <c r="A58" t="s">
        <v>701</v>
      </c>
      <c r="B58" s="4"/>
      <c r="C58" s="2"/>
      <c r="D58" s="2"/>
      <c r="E58" s="2"/>
      <c r="F58" s="2"/>
      <c r="G58" s="2"/>
      <c r="H58" s="2"/>
      <c r="I58" s="2"/>
      <c r="J58" s="2">
        <v>19200</v>
      </c>
      <c r="K58" s="2"/>
      <c r="L58" s="2"/>
      <c r="M58" s="2"/>
      <c r="N58" s="2"/>
      <c r="O58" s="2"/>
      <c r="P58" s="2"/>
      <c r="Q58" s="2"/>
      <c r="R58" s="2"/>
      <c r="S58" s="2"/>
      <c r="T58" s="75"/>
    </row>
    <row r="59" spans="1:20" ht="12.75">
      <c r="A59" t="s">
        <v>41</v>
      </c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75"/>
    </row>
    <row r="60" spans="1:20" ht="12.75">
      <c r="A60" t="s">
        <v>42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2">
        <v>350</v>
      </c>
      <c r="M60" s="2"/>
      <c r="N60" s="2"/>
      <c r="O60" s="2"/>
      <c r="P60" s="2"/>
      <c r="Q60" s="2"/>
      <c r="R60" s="2"/>
      <c r="S60" s="2"/>
      <c r="T60" s="75"/>
    </row>
    <row r="61" spans="2:20" ht="12.75"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75"/>
    </row>
    <row r="62" spans="1:20" ht="12.75" hidden="1">
      <c r="A62" t="s">
        <v>458</v>
      </c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48"/>
    </row>
    <row r="63" spans="1:20" ht="12.75" hidden="1">
      <c r="A63" t="s">
        <v>459</v>
      </c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"/>
      <c r="R63" s="5"/>
      <c r="S63" s="5"/>
      <c r="T63" s="48"/>
    </row>
    <row r="64" spans="1:20" ht="12.75">
      <c r="A64" s="6" t="s">
        <v>91</v>
      </c>
      <c r="B64" s="6"/>
      <c r="C64" s="7">
        <f aca="true" t="shared" si="3" ref="C64:I64">SUM(C7:C63)</f>
        <v>166725</v>
      </c>
      <c r="D64" s="8">
        <f t="shared" si="3"/>
        <v>201685</v>
      </c>
      <c r="E64" s="8">
        <f t="shared" si="3"/>
        <v>189189</v>
      </c>
      <c r="F64" s="8">
        <f t="shared" si="3"/>
        <v>209065</v>
      </c>
      <c r="G64" s="8">
        <f t="shared" si="3"/>
        <v>211057</v>
      </c>
      <c r="H64" s="8">
        <f t="shared" si="3"/>
        <v>215056</v>
      </c>
      <c r="I64" s="8">
        <f t="shared" si="3"/>
        <v>220974</v>
      </c>
      <c r="J64" s="8">
        <v>251537</v>
      </c>
      <c r="K64" s="8">
        <f aca="true" t="shared" si="4" ref="K64:R64">SUM(K7:K63)</f>
        <v>271364</v>
      </c>
      <c r="L64" s="8">
        <v>248741</v>
      </c>
      <c r="M64" s="8">
        <v>237680</v>
      </c>
      <c r="N64" s="8">
        <f>SUM(N7:N63)</f>
        <v>127622</v>
      </c>
      <c r="O64" s="8">
        <f t="shared" si="4"/>
        <v>187904.5</v>
      </c>
      <c r="P64" s="8">
        <f t="shared" si="4"/>
        <v>183071.8968</v>
      </c>
      <c r="Q64" s="8">
        <f t="shared" si="4"/>
        <v>255529.252</v>
      </c>
      <c r="R64" s="8">
        <f t="shared" si="4"/>
        <v>247689.252</v>
      </c>
      <c r="S64" s="8">
        <f>SUM(S7:S63)</f>
        <v>240806.752</v>
      </c>
      <c r="T64" s="49">
        <f>(S64-P64)/P64</f>
        <v>0.3153671110048827</v>
      </c>
    </row>
    <row r="66" spans="1:18" ht="12.75">
      <c r="A66" t="s">
        <v>823</v>
      </c>
      <c r="P66" s="20" t="s">
        <v>445</v>
      </c>
      <c r="Q66" s="20"/>
      <c r="R66" s="52">
        <f>Q64-R64</f>
        <v>7840</v>
      </c>
    </row>
    <row r="67" spans="16:18" ht="12.75">
      <c r="P67" s="20" t="s">
        <v>668</v>
      </c>
      <c r="Q67" s="20"/>
      <c r="R67" s="52">
        <f>P64-R64</f>
        <v>-64617.35520000002</v>
      </c>
    </row>
    <row r="68" spans="2:18" ht="12.75">
      <c r="B68" s="4"/>
      <c r="P68" s="20" t="s">
        <v>397</v>
      </c>
      <c r="Q68" s="20"/>
      <c r="R68" s="52">
        <f>R64-S64</f>
        <v>6882.5</v>
      </c>
    </row>
    <row r="69" spans="1:18" ht="12.75">
      <c r="A69" s="6" t="s">
        <v>822</v>
      </c>
      <c r="P69" s="20"/>
      <c r="Q69" s="20"/>
      <c r="R69" s="52"/>
    </row>
    <row r="70" spans="1:19" ht="12.75">
      <c r="A70" s="37" t="s">
        <v>785</v>
      </c>
      <c r="B70" s="38">
        <v>34.721</v>
      </c>
      <c r="C70" s="39">
        <v>1650</v>
      </c>
      <c r="D70" s="39">
        <v>1620</v>
      </c>
      <c r="E70" s="39">
        <v>970</v>
      </c>
      <c r="F70" s="39">
        <v>2030</v>
      </c>
      <c r="G70" s="39">
        <v>1365</v>
      </c>
      <c r="H70" s="39">
        <v>1305</v>
      </c>
      <c r="I70" s="39">
        <v>1925</v>
      </c>
      <c r="J70" s="39">
        <v>2540</v>
      </c>
      <c r="K70" s="39">
        <v>3546</v>
      </c>
      <c r="L70" s="39">
        <v>8607</v>
      </c>
      <c r="M70" s="20">
        <v>3488</v>
      </c>
      <c r="Q70" s="18"/>
      <c r="R70" s="18"/>
      <c r="S70" s="18"/>
    </row>
    <row r="71" spans="1:19" ht="12.75">
      <c r="A71" s="37" t="s">
        <v>786</v>
      </c>
      <c r="B71" s="38">
        <v>34.7212</v>
      </c>
      <c r="C71" s="39">
        <v>1295</v>
      </c>
      <c r="D71" s="39"/>
      <c r="E71" s="39">
        <v>597</v>
      </c>
      <c r="F71" s="39">
        <v>2759</v>
      </c>
      <c r="G71" s="39">
        <v>75</v>
      </c>
      <c r="H71" s="39"/>
      <c r="I71" s="39"/>
      <c r="J71" s="39"/>
      <c r="K71" s="39">
        <v>1050</v>
      </c>
      <c r="L71" s="39"/>
      <c r="M71" s="20"/>
      <c r="Q71" s="18"/>
      <c r="R71" s="18"/>
      <c r="S71" s="18"/>
    </row>
    <row r="72" spans="1:19" ht="12.75">
      <c r="A72" s="37" t="s">
        <v>787</v>
      </c>
      <c r="B72" s="38">
        <v>34.731</v>
      </c>
      <c r="C72" s="39">
        <v>2200</v>
      </c>
      <c r="D72" s="39">
        <v>4254</v>
      </c>
      <c r="E72" s="39">
        <v>4234</v>
      </c>
      <c r="F72" s="39">
        <v>2673</v>
      </c>
      <c r="G72" s="39">
        <v>3479</v>
      </c>
      <c r="H72" s="39">
        <v>3785</v>
      </c>
      <c r="I72" s="39">
        <v>5391</v>
      </c>
      <c r="J72" s="39">
        <v>6709</v>
      </c>
      <c r="K72" s="39">
        <v>7277</v>
      </c>
      <c r="L72" s="39">
        <v>6983</v>
      </c>
      <c r="M72" s="28">
        <v>4359.4</v>
      </c>
      <c r="Q72" s="18"/>
      <c r="R72" s="18"/>
      <c r="S72" s="18"/>
    </row>
    <row r="73" spans="1:13" ht="12.75">
      <c r="A73" s="37" t="s">
        <v>471</v>
      </c>
      <c r="B73" s="38">
        <v>34.7312</v>
      </c>
      <c r="C73" s="39"/>
      <c r="D73" s="39"/>
      <c r="E73" s="39"/>
      <c r="F73" s="39">
        <v>1708</v>
      </c>
      <c r="G73" s="39"/>
      <c r="H73" s="39"/>
      <c r="I73" s="39"/>
      <c r="J73" s="39"/>
      <c r="K73" s="39"/>
      <c r="L73" s="39"/>
      <c r="M73" s="20"/>
    </row>
    <row r="74" spans="1:13" ht="12.75">
      <c r="A74" s="41" t="s">
        <v>788</v>
      </c>
      <c r="B74" s="38">
        <v>34.7315</v>
      </c>
      <c r="C74" s="39"/>
      <c r="D74" s="39"/>
      <c r="E74" s="39"/>
      <c r="F74" s="39">
        <v>10185</v>
      </c>
      <c r="G74" s="39">
        <v>12638</v>
      </c>
      <c r="H74" s="39">
        <v>10915</v>
      </c>
      <c r="I74" s="39">
        <v>11235</v>
      </c>
      <c r="J74" s="39">
        <v>7804</v>
      </c>
      <c r="K74" s="39">
        <v>10904</v>
      </c>
      <c r="L74" s="39">
        <v>4360</v>
      </c>
      <c r="M74" s="28">
        <v>6031</v>
      </c>
    </row>
    <row r="75" spans="1:13" ht="12.75">
      <c r="A75" s="41" t="s">
        <v>793</v>
      </c>
      <c r="B75" s="38">
        <v>34.7318</v>
      </c>
      <c r="C75" s="39"/>
      <c r="D75" s="39"/>
      <c r="E75" s="39"/>
      <c r="F75" s="39"/>
      <c r="G75" s="39"/>
      <c r="H75" s="39">
        <v>2750</v>
      </c>
      <c r="I75" s="39">
        <v>2072</v>
      </c>
      <c r="J75" s="39">
        <v>1709</v>
      </c>
      <c r="K75" s="39">
        <v>1366</v>
      </c>
      <c r="L75" s="39">
        <v>1050</v>
      </c>
      <c r="M75" s="20"/>
    </row>
    <row r="76" spans="1:13" ht="12.75" hidden="1">
      <c r="A76" s="37" t="s">
        <v>792</v>
      </c>
      <c r="B76" s="38">
        <v>34.732</v>
      </c>
      <c r="C76" s="39">
        <v>497</v>
      </c>
      <c r="D76" s="39"/>
      <c r="E76" s="39"/>
      <c r="F76" s="39">
        <v>728</v>
      </c>
      <c r="G76" s="39"/>
      <c r="H76" s="39">
        <v>125</v>
      </c>
      <c r="I76" s="39"/>
      <c r="J76" s="39"/>
      <c r="K76" s="39"/>
      <c r="L76" s="39"/>
      <c r="M76" s="20"/>
    </row>
    <row r="77" spans="1:19" ht="12.75" hidden="1">
      <c r="A77" s="37" t="s">
        <v>791</v>
      </c>
      <c r="B77" s="38">
        <v>34.733</v>
      </c>
      <c r="C77" s="39" t="s">
        <v>102</v>
      </c>
      <c r="D77" s="39">
        <v>900</v>
      </c>
      <c r="E77" s="39">
        <v>2056</v>
      </c>
      <c r="F77" s="39">
        <v>2337</v>
      </c>
      <c r="G77" s="39">
        <v>187</v>
      </c>
      <c r="H77" s="39"/>
      <c r="I77" s="39">
        <v>400</v>
      </c>
      <c r="J77" s="39"/>
      <c r="K77" s="39"/>
      <c r="L77" s="39"/>
      <c r="M77" s="39"/>
      <c r="S77" s="5"/>
    </row>
    <row r="78" spans="1:19" ht="12.75">
      <c r="A78" s="37" t="s">
        <v>790</v>
      </c>
      <c r="B78" s="38">
        <v>34.751</v>
      </c>
      <c r="C78" s="39">
        <v>10240</v>
      </c>
      <c r="D78" s="39">
        <v>10084</v>
      </c>
      <c r="E78" s="39">
        <v>1700</v>
      </c>
      <c r="F78" s="39">
        <v>9603</v>
      </c>
      <c r="G78" s="39">
        <v>10414</v>
      </c>
      <c r="H78" s="39">
        <v>11535</v>
      </c>
      <c r="I78" s="39">
        <v>8270</v>
      </c>
      <c r="J78" s="39">
        <v>10284</v>
      </c>
      <c r="K78" s="39">
        <v>10025</v>
      </c>
      <c r="L78" s="39">
        <v>8607</v>
      </c>
      <c r="M78" s="20">
        <v>6911</v>
      </c>
      <c r="S78" s="5"/>
    </row>
    <row r="79" spans="1:19" ht="12.75">
      <c r="A79" s="20" t="s">
        <v>222</v>
      </c>
      <c r="B79" s="20">
        <v>34.7515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20">
        <v>1308</v>
      </c>
      <c r="S79" s="5"/>
    </row>
    <row r="80" spans="1:13" ht="12.75">
      <c r="A80" s="37" t="s">
        <v>789</v>
      </c>
      <c r="B80" s="38">
        <v>34.752</v>
      </c>
      <c r="C80" s="39">
        <v>3720</v>
      </c>
      <c r="D80" s="39">
        <v>3720</v>
      </c>
      <c r="E80" s="39">
        <v>3900</v>
      </c>
      <c r="F80" s="39">
        <v>4200</v>
      </c>
      <c r="G80" s="39">
        <v>3232</v>
      </c>
      <c r="H80" s="39">
        <v>3300</v>
      </c>
      <c r="I80" s="39">
        <v>3080</v>
      </c>
      <c r="J80" s="39">
        <v>2660</v>
      </c>
      <c r="K80" s="39">
        <v>2649</v>
      </c>
      <c r="L80" s="39">
        <v>2968</v>
      </c>
      <c r="M80" s="39"/>
    </row>
    <row r="81" spans="1:19" ht="12.75">
      <c r="A81" s="41" t="s">
        <v>486</v>
      </c>
      <c r="B81" s="38">
        <v>34.753</v>
      </c>
      <c r="C81" s="39"/>
      <c r="D81" s="39"/>
      <c r="E81" s="39">
        <v>7280</v>
      </c>
      <c r="F81" s="39"/>
      <c r="G81" s="39">
        <v>260</v>
      </c>
      <c r="H81" s="39"/>
      <c r="I81" s="39">
        <v>2797</v>
      </c>
      <c r="J81" s="39"/>
      <c r="K81" s="39"/>
      <c r="L81" s="39"/>
      <c r="M81" s="20">
        <v>2409</v>
      </c>
      <c r="S81" s="5"/>
    </row>
    <row r="82" spans="1:19" ht="12.75">
      <c r="A82" s="37" t="s">
        <v>794</v>
      </c>
      <c r="B82" s="38">
        <v>34.754</v>
      </c>
      <c r="C82" s="39">
        <v>3184</v>
      </c>
      <c r="D82" s="39">
        <v>1846</v>
      </c>
      <c r="E82" s="39">
        <v>944</v>
      </c>
      <c r="F82" s="39">
        <v>1955</v>
      </c>
      <c r="G82" s="39">
        <v>2600</v>
      </c>
      <c r="H82" s="39">
        <v>2185</v>
      </c>
      <c r="I82" s="39"/>
      <c r="J82" s="39">
        <v>801</v>
      </c>
      <c r="K82" s="39">
        <v>1308</v>
      </c>
      <c r="L82" s="39">
        <v>1396</v>
      </c>
      <c r="M82" s="20">
        <v>1803</v>
      </c>
      <c r="S82" s="5"/>
    </row>
    <row r="83" spans="1:19" ht="12.75">
      <c r="A83" s="37" t="s">
        <v>795</v>
      </c>
      <c r="B83" s="38">
        <v>34.791</v>
      </c>
      <c r="C83" s="39">
        <v>4236</v>
      </c>
      <c r="D83" s="39">
        <v>7396</v>
      </c>
      <c r="E83" s="39">
        <v>6413</v>
      </c>
      <c r="F83" s="39">
        <v>5837</v>
      </c>
      <c r="G83" s="39">
        <v>8102</v>
      </c>
      <c r="H83" s="39">
        <v>7101</v>
      </c>
      <c r="I83" s="39">
        <v>12177</v>
      </c>
      <c r="J83" s="39">
        <v>10166</v>
      </c>
      <c r="K83" s="39">
        <v>9118</v>
      </c>
      <c r="L83" s="39">
        <v>9981</v>
      </c>
      <c r="M83" s="116">
        <v>4346.1</v>
      </c>
      <c r="S83" s="5"/>
    </row>
    <row r="84" spans="1:13" ht="12.75">
      <c r="A84" s="37" t="s">
        <v>796</v>
      </c>
      <c r="B84" s="38">
        <v>34.792</v>
      </c>
      <c r="C84" s="39">
        <v>1739</v>
      </c>
      <c r="D84" s="39">
        <v>2200</v>
      </c>
      <c r="E84" s="39">
        <v>2330</v>
      </c>
      <c r="F84" s="39">
        <v>2525</v>
      </c>
      <c r="G84" s="39">
        <v>2300</v>
      </c>
      <c r="H84" s="39">
        <v>2050</v>
      </c>
      <c r="I84" s="39">
        <v>2072</v>
      </c>
      <c r="J84" s="39">
        <v>1185</v>
      </c>
      <c r="K84" s="39">
        <v>1655</v>
      </c>
      <c r="L84" s="39">
        <v>2542</v>
      </c>
      <c r="M84" s="20">
        <v>1100</v>
      </c>
    </row>
    <row r="85" spans="1:19" ht="12.75">
      <c r="A85" s="37" t="s">
        <v>797</v>
      </c>
      <c r="B85" s="38">
        <v>34.793</v>
      </c>
      <c r="C85" s="39">
        <v>3590</v>
      </c>
      <c r="D85" s="39">
        <v>3650</v>
      </c>
      <c r="E85" s="39">
        <v>1850</v>
      </c>
      <c r="F85" s="39">
        <v>3650</v>
      </c>
      <c r="G85" s="39">
        <v>3830</v>
      </c>
      <c r="H85" s="39">
        <v>1900</v>
      </c>
      <c r="I85" s="39">
        <v>8019</v>
      </c>
      <c r="J85" s="39">
        <v>6592</v>
      </c>
      <c r="K85" s="39">
        <v>5857</v>
      </c>
      <c r="L85" s="39">
        <v>6341</v>
      </c>
      <c r="M85" s="20">
        <v>1501</v>
      </c>
      <c r="S85" s="5"/>
    </row>
    <row r="86" spans="1:19" ht="12.75">
      <c r="A86" s="37" t="s">
        <v>806</v>
      </c>
      <c r="B86" s="38">
        <v>37.14</v>
      </c>
      <c r="C86" s="39">
        <v>536</v>
      </c>
      <c r="D86" s="20"/>
      <c r="E86" s="39"/>
      <c r="F86" s="39"/>
      <c r="G86" t="s">
        <v>608</v>
      </c>
      <c r="H86" s="39"/>
      <c r="I86" s="39"/>
      <c r="J86" s="39">
        <v>303</v>
      </c>
      <c r="K86" s="39">
        <v>2052</v>
      </c>
      <c r="L86" s="39"/>
      <c r="M86" s="39"/>
      <c r="S86" s="5"/>
    </row>
    <row r="87" spans="1:19" ht="12.75">
      <c r="A87" s="167" t="s">
        <v>889</v>
      </c>
      <c r="I87" s="2">
        <f>SUM(I70:I86)</f>
        <v>57438</v>
      </c>
      <c r="J87" s="2">
        <f>SUM(J70:J86)</f>
        <v>50753</v>
      </c>
      <c r="K87" s="2">
        <f>SUM(K70:K86)</f>
        <v>56807</v>
      </c>
      <c r="L87" s="2">
        <f>SUM(L70:L86)</f>
        <v>52835</v>
      </c>
      <c r="M87" s="2">
        <f>SUM(M70:M86)</f>
        <v>33256.5</v>
      </c>
      <c r="S87" s="5"/>
    </row>
    <row r="88" ht="12.75" hidden="1">
      <c r="M88" s="39"/>
    </row>
    <row r="89" spans="11:15" ht="12.75">
      <c r="K89" s="20"/>
      <c r="L89" s="20"/>
      <c r="M89" s="52"/>
      <c r="N89" s="2"/>
      <c r="O89" s="2"/>
    </row>
    <row r="90" spans="13:19" ht="12.75">
      <c r="M90" s="20"/>
      <c r="N90" s="2"/>
      <c r="O90" s="2"/>
      <c r="S90" s="5"/>
    </row>
    <row r="91" spans="11:19" ht="12.75">
      <c r="K91" s="20"/>
      <c r="L91" s="20"/>
      <c r="M91" s="20"/>
      <c r="N91" s="2"/>
      <c r="O91" s="2"/>
      <c r="S91" s="5"/>
    </row>
    <row r="92" spans="11:12" ht="12.75">
      <c r="K92" s="20"/>
      <c r="L92" s="20"/>
    </row>
    <row r="93" spans="11:19" ht="12.75">
      <c r="K93" s="20"/>
      <c r="L93" s="20"/>
      <c r="S93" s="5"/>
    </row>
    <row r="94" spans="11:13" ht="12.75">
      <c r="K94" s="20"/>
      <c r="L94" s="20"/>
      <c r="M94" s="20"/>
    </row>
    <row r="95" spans="11:19" ht="12.75">
      <c r="K95" s="20"/>
      <c r="L95" s="20"/>
      <c r="S95" s="5"/>
    </row>
    <row r="96" spans="11:19" ht="12.75">
      <c r="K96" s="20"/>
      <c r="L96" s="20"/>
      <c r="M96" s="20"/>
      <c r="S96" s="5"/>
    </row>
    <row r="97" spans="11:13" ht="12.75">
      <c r="K97" s="20"/>
      <c r="L97" s="20"/>
      <c r="M97" s="20"/>
    </row>
    <row r="98" spans="11:19" ht="12.75">
      <c r="K98" s="20"/>
      <c r="L98" s="20"/>
      <c r="M98" s="20"/>
      <c r="S98" s="5"/>
    </row>
    <row r="99" spans="11:19" ht="12.75">
      <c r="K99" s="20"/>
      <c r="L99" s="20"/>
      <c r="S99" s="5"/>
    </row>
    <row r="100" spans="11:12" ht="12.75">
      <c r="K100" s="20"/>
      <c r="L100" s="20"/>
    </row>
    <row r="104" ht="12.75">
      <c r="S104" s="5"/>
    </row>
    <row r="105" ht="12.75">
      <c r="S105" s="5"/>
    </row>
    <row r="109" ht="12.75">
      <c r="S109" s="5"/>
    </row>
    <row r="111" ht="12.75">
      <c r="S111" s="5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V71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9" width="10.8515625" style="0" bestFit="1" customWidth="1"/>
    <col min="20" max="20" width="9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438</v>
      </c>
      <c r="N3" s="53">
        <v>10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 t="s">
        <v>85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84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274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15000</v>
      </c>
      <c r="M7" s="2">
        <v>17100</v>
      </c>
      <c r="N7" s="2">
        <v>3750</v>
      </c>
      <c r="O7" s="2">
        <v>12000</v>
      </c>
      <c r="P7" s="19">
        <v>15000</v>
      </c>
      <c r="Q7" s="2">
        <v>18500</v>
      </c>
      <c r="R7" s="19">
        <v>15000</v>
      </c>
      <c r="S7" s="2">
        <v>15000</v>
      </c>
      <c r="T7" s="75">
        <f>(S7-P7)/P7</f>
        <v>0</v>
      </c>
    </row>
    <row r="8" spans="2:20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5"/>
      <c r="Q8" s="5"/>
      <c r="R8" s="2"/>
      <c r="S8" s="2"/>
      <c r="T8" s="48"/>
    </row>
    <row r="9" spans="2:20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8"/>
    </row>
    <row r="10" spans="1:20" ht="12.75">
      <c r="A10" s="6" t="s">
        <v>91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S10">SUM(K7:K9)</f>
        <v>17500</v>
      </c>
      <c r="L10" s="8">
        <v>15000</v>
      </c>
      <c r="M10" s="8">
        <v>17100</v>
      </c>
      <c r="N10" s="8">
        <f t="shared" si="1"/>
        <v>3750</v>
      </c>
      <c r="O10" s="8">
        <f t="shared" si="1"/>
        <v>12000</v>
      </c>
      <c r="P10" s="8">
        <f t="shared" si="1"/>
        <v>15000</v>
      </c>
      <c r="Q10" s="8">
        <f t="shared" si="1"/>
        <v>18500</v>
      </c>
      <c r="R10" s="8">
        <f t="shared" si="1"/>
        <v>15000</v>
      </c>
      <c r="S10" s="8">
        <f t="shared" si="1"/>
        <v>15000</v>
      </c>
      <c r="T10" s="49">
        <f>(S10-P10)/P10</f>
        <v>0</v>
      </c>
    </row>
    <row r="11" ht="12.75">
      <c r="T11" s="48"/>
    </row>
    <row r="12" spans="16:20" ht="12.75">
      <c r="P12" s="20" t="s">
        <v>445</v>
      </c>
      <c r="Q12" s="20"/>
      <c r="R12" s="52">
        <f>Q10-R10</f>
        <v>3500</v>
      </c>
      <c r="T12" s="48"/>
    </row>
    <row r="13" spans="16:20" ht="12.75">
      <c r="P13" s="20" t="s">
        <v>668</v>
      </c>
      <c r="Q13" s="20"/>
      <c r="R13" s="52">
        <f>P10-R10</f>
        <v>0</v>
      </c>
      <c r="T13" s="48"/>
    </row>
    <row r="14" spans="16:20" ht="12.75">
      <c r="P14" s="20" t="s">
        <v>397</v>
      </c>
      <c r="Q14" s="20"/>
      <c r="R14" s="52">
        <f>R10-S10</f>
        <v>0</v>
      </c>
      <c r="T14" s="48"/>
    </row>
    <row r="15" ht="12.75">
      <c r="T15" s="48"/>
    </row>
    <row r="16" spans="1:20" ht="12.75">
      <c r="A16" s="42"/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2" ht="12.75">
      <c r="T52" s="48"/>
    </row>
    <row r="53" ht="12.75">
      <c r="T53" s="48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  <row r="71" ht="12.75">
      <c r="T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U6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2812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10" width="11.7109375" style="0" hidden="1" customWidth="1"/>
    <col min="11" max="14" width="11.7109375" style="0" customWidth="1"/>
    <col min="15" max="15" width="10.00390625" style="0" customWidth="1"/>
    <col min="16" max="16" width="11.7109375" style="0" customWidth="1"/>
    <col min="18" max="18" width="10.7109375" style="0" bestFit="1" customWidth="1"/>
    <col min="19" max="19" width="10.8515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439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 t="s">
        <v>85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 hidden="1">
      <c r="A7" t="s">
        <v>627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/>
      <c r="N7" s="2"/>
      <c r="O7" s="2"/>
      <c r="P7" s="2"/>
      <c r="Q7" s="2"/>
      <c r="R7" s="2"/>
      <c r="S7" s="2"/>
      <c r="T7" s="75" t="e">
        <f>(S7-P7)/P7</f>
        <v>#DIV/0!</v>
      </c>
    </row>
    <row r="8" spans="1:20" ht="12.75">
      <c r="A8" t="s">
        <v>666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2"/>
      <c r="S8" s="2"/>
      <c r="T8" s="75"/>
    </row>
    <row r="9" spans="1:20" ht="12.75" hidden="1">
      <c r="A9" t="s">
        <v>667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2"/>
      <c r="S9" s="2"/>
      <c r="T9" s="75"/>
    </row>
    <row r="10" spans="1:20" ht="12.75" hidden="1">
      <c r="A10" t="s">
        <v>702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0" ht="12.75">
      <c r="A11" t="s">
        <v>230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/>
      <c r="N11" s="2"/>
      <c r="O11" s="2">
        <f>+N11/$N$3*12</f>
        <v>0</v>
      </c>
      <c r="P11" s="2"/>
      <c r="Q11" s="2"/>
      <c r="R11" s="2"/>
      <c r="S11" s="2"/>
      <c r="T11" s="75"/>
    </row>
    <row r="12" spans="1:20" ht="12.75" hidden="1">
      <c r="A12" t="s">
        <v>681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2"/>
      <c r="S12" s="2"/>
      <c r="T12" s="75"/>
    </row>
    <row r="13" spans="1:21" ht="12.75">
      <c r="A13" t="s">
        <v>276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90000</v>
      </c>
      <c r="M13" s="2">
        <v>81000</v>
      </c>
      <c r="N13" s="2">
        <v>40500</v>
      </c>
      <c r="O13" s="2">
        <v>81000</v>
      </c>
      <c r="P13" s="2">
        <v>81000</v>
      </c>
      <c r="Q13" s="2">
        <v>90000</v>
      </c>
      <c r="R13" s="2">
        <v>81000</v>
      </c>
      <c r="S13" s="2">
        <v>77000</v>
      </c>
      <c r="T13" s="75">
        <f>(S13-P13)/P13</f>
        <v>-0.04938271604938271</v>
      </c>
      <c r="U13" t="s">
        <v>333</v>
      </c>
    </row>
    <row r="14" spans="1:20" ht="12.75" hidden="1">
      <c r="A14" t="s">
        <v>607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75"/>
    </row>
    <row r="15" spans="1:21" ht="12.75" hidden="1">
      <c r="A15" t="s">
        <v>716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5"/>
      <c r="U15" s="30" t="s">
        <v>463</v>
      </c>
    </row>
    <row r="16" spans="1:21" ht="12.75">
      <c r="A16" t="s">
        <v>696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2"/>
      <c r="S16" s="2"/>
      <c r="T16" s="75"/>
      <c r="U16" s="30" t="s">
        <v>463</v>
      </c>
    </row>
    <row r="17" spans="1:21" ht="12.75" hidden="1">
      <c r="A17" t="s">
        <v>638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  <c r="U17" s="30" t="s">
        <v>463</v>
      </c>
    </row>
    <row r="18" spans="1:21" ht="12.75">
      <c r="A18" t="s">
        <v>841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10000</v>
      </c>
      <c r="M18" s="2"/>
      <c r="N18" s="2"/>
      <c r="O18" s="2"/>
      <c r="P18" s="2"/>
      <c r="Q18" s="2"/>
      <c r="R18" s="2"/>
      <c r="S18" s="2"/>
      <c r="T18" s="75"/>
      <c r="U18" s="30" t="s">
        <v>463</v>
      </c>
    </row>
    <row r="19" spans="2:20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5"/>
    </row>
    <row r="20" spans="2:20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"/>
      <c r="O20" s="2"/>
      <c r="P20" s="5"/>
      <c r="Q20" s="5"/>
      <c r="R20" s="5"/>
      <c r="S20" s="5"/>
      <c r="T20" s="48"/>
    </row>
    <row r="21" spans="1:20" ht="12.75">
      <c r="A21" s="6" t="s">
        <v>91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S21">SUM(K7:K20)</f>
        <v>633532</v>
      </c>
      <c r="L21" s="8">
        <v>101400</v>
      </c>
      <c r="M21" s="8">
        <v>81000</v>
      </c>
      <c r="N21" s="8">
        <f t="shared" si="1"/>
        <v>40500</v>
      </c>
      <c r="O21" s="8">
        <f t="shared" si="1"/>
        <v>81000</v>
      </c>
      <c r="P21" s="8">
        <f t="shared" si="1"/>
        <v>81000</v>
      </c>
      <c r="Q21" s="8">
        <f t="shared" si="1"/>
        <v>90000</v>
      </c>
      <c r="R21" s="8">
        <f t="shared" si="1"/>
        <v>81000</v>
      </c>
      <c r="S21" s="8">
        <f t="shared" si="1"/>
        <v>77000</v>
      </c>
      <c r="T21" s="49">
        <f>(S21-P21)/P21</f>
        <v>-0.04938271604938271</v>
      </c>
    </row>
    <row r="22" ht="12.75">
      <c r="T22" s="48"/>
    </row>
    <row r="23" spans="2:20" ht="12.75">
      <c r="B23" s="4"/>
      <c r="P23" s="20" t="s">
        <v>445</v>
      </c>
      <c r="Q23" s="20"/>
      <c r="R23" s="52">
        <f>Q21-R21</f>
        <v>9000</v>
      </c>
      <c r="T23" s="48"/>
    </row>
    <row r="24" spans="1:20" ht="12.75">
      <c r="A24" s="16"/>
      <c r="P24" s="20" t="s">
        <v>668</v>
      </c>
      <c r="Q24" s="20"/>
      <c r="R24" s="52">
        <f>P21-R21</f>
        <v>0</v>
      </c>
      <c r="T24" s="48"/>
    </row>
    <row r="25" spans="1:20" ht="12.75">
      <c r="A25" s="16"/>
      <c r="P25" s="20" t="s">
        <v>397</v>
      </c>
      <c r="Q25" s="20"/>
      <c r="R25" s="52">
        <f>R21-S21</f>
        <v>4000</v>
      </c>
      <c r="T25" s="48"/>
    </row>
    <row r="26" spans="1:20" ht="12.75">
      <c r="A26" s="14" t="s">
        <v>466</v>
      </c>
      <c r="B26" t="s">
        <v>489</v>
      </c>
      <c r="T26" s="48"/>
    </row>
    <row r="27" spans="1:20" ht="12.75">
      <c r="A27" s="14" t="s">
        <v>575</v>
      </c>
      <c r="B27" t="s">
        <v>835</v>
      </c>
      <c r="T27" s="48"/>
    </row>
    <row r="28" ht="12.75">
      <c r="T28" s="48"/>
    </row>
    <row r="29" spans="1:20" ht="12.75">
      <c r="A29" s="6"/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60" ht="12.75">
      <c r="T60" s="2"/>
    </row>
    <row r="61" ht="12.75">
      <c r="T61" s="2"/>
    </row>
    <row r="62" ht="12.75">
      <c r="T62" s="2"/>
    </row>
    <row r="63" ht="12.75">
      <c r="T63" s="2"/>
    </row>
    <row r="64" ht="12.75">
      <c r="T64" s="2"/>
    </row>
    <row r="65" ht="12.75">
      <c r="T65" s="2"/>
    </row>
  </sheetData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104"/>
  <sheetViews>
    <sheetView tabSelected="1" zoomScale="75" zoomScaleNormal="75" workbookViewId="0" topLeftCell="A3">
      <pane ySplit="960" topLeftCell="BM1" activePane="bottomLeft" state="split"/>
      <selection pane="topLeft" activeCell="H41" sqref="H41"/>
      <selection pane="bottomLeft" activeCell="H41" sqref="H41"/>
    </sheetView>
  </sheetViews>
  <sheetFormatPr defaultColWidth="9.140625" defaultRowHeight="12.75"/>
  <cols>
    <col min="1" max="1" width="34.00390625" style="20" customWidth="1"/>
    <col min="2" max="2" width="7.421875" style="20" bestFit="1" customWidth="1"/>
    <col min="3" max="3" width="8.57421875" style="20" hidden="1" customWidth="1"/>
    <col min="4" max="4" width="7.57421875" style="20" hidden="1" customWidth="1"/>
    <col min="5" max="5" width="8.00390625" style="20" hidden="1" customWidth="1"/>
    <col min="6" max="10" width="9.140625" style="20" hidden="1" customWidth="1"/>
    <col min="11" max="13" width="9.140625" style="20" customWidth="1"/>
    <col min="14" max="14" width="8.28125" style="20" customWidth="1"/>
    <col min="15" max="15" width="9.140625" style="20" bestFit="1" customWidth="1"/>
    <col min="16" max="16" width="10.8515625" style="20" customWidth="1"/>
    <col min="17" max="17" width="8.7109375" style="20" bestFit="1" customWidth="1"/>
    <col min="18" max="18" width="10.28125" style="20" bestFit="1" customWidth="1"/>
    <col min="19" max="19" width="9.140625" style="20" bestFit="1" customWidth="1"/>
    <col min="20" max="20" width="10.140625" style="20" bestFit="1" customWidth="1"/>
    <col min="21" max="21" width="11.7109375" style="20" customWidth="1"/>
    <col min="22" max="16384" width="9.140625" style="20" customWidth="1"/>
  </cols>
  <sheetData>
    <row r="1" spans="1:2" ht="12.75">
      <c r="A1" s="20" t="s">
        <v>81</v>
      </c>
      <c r="B1"/>
    </row>
    <row r="2" ht="12.75">
      <c r="A2" s="20" t="s">
        <v>82</v>
      </c>
    </row>
    <row r="3" spans="1:20" ht="12.75">
      <c r="A3" s="42" t="s">
        <v>389</v>
      </c>
      <c r="F3" s="24"/>
      <c r="G3" s="24"/>
      <c r="H3" s="24"/>
      <c r="I3" s="24"/>
      <c r="J3" s="24"/>
      <c r="K3" s="24"/>
      <c r="L3" s="24"/>
      <c r="M3" s="24"/>
      <c r="N3" s="47">
        <v>6</v>
      </c>
      <c r="T3" s="24" t="s">
        <v>316</v>
      </c>
    </row>
    <row r="4" spans="3:20" ht="12.75">
      <c r="C4" s="24" t="s">
        <v>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395</v>
      </c>
      <c r="P4" s="24"/>
      <c r="Q4" s="24" t="s">
        <v>390</v>
      </c>
      <c r="R4" s="24" t="s">
        <v>392</v>
      </c>
      <c r="S4" s="24" t="s">
        <v>393</v>
      </c>
      <c r="T4" s="24" t="s">
        <v>387</v>
      </c>
    </row>
    <row r="5" spans="3:20" ht="12.75">
      <c r="C5" s="24" t="s">
        <v>386</v>
      </c>
      <c r="D5" s="24" t="s">
        <v>386</v>
      </c>
      <c r="E5" s="24" t="s">
        <v>386</v>
      </c>
      <c r="F5" s="24" t="s">
        <v>386</v>
      </c>
      <c r="G5" s="24" t="s">
        <v>386</v>
      </c>
      <c r="H5" s="24" t="s">
        <v>386</v>
      </c>
      <c r="I5" s="24" t="s">
        <v>386</v>
      </c>
      <c r="J5" s="24" t="s">
        <v>386</v>
      </c>
      <c r="K5" s="24" t="s">
        <v>386</v>
      </c>
      <c r="L5" s="24" t="s">
        <v>386</v>
      </c>
      <c r="M5" s="24" t="s">
        <v>386</v>
      </c>
      <c r="N5" s="24" t="s">
        <v>386</v>
      </c>
      <c r="O5" s="24" t="s">
        <v>396</v>
      </c>
      <c r="P5" s="24" t="s">
        <v>316</v>
      </c>
      <c r="Q5" s="24" t="s">
        <v>391</v>
      </c>
      <c r="R5" s="24" t="s">
        <v>609</v>
      </c>
      <c r="S5" s="24" t="s">
        <v>382</v>
      </c>
      <c r="T5" s="24" t="s">
        <v>388</v>
      </c>
    </row>
    <row r="6" spans="1:21" ht="12.75">
      <c r="A6" s="20" t="s">
        <v>93</v>
      </c>
      <c r="C6" s="24">
        <v>1999</v>
      </c>
      <c r="D6" s="21">
        <v>2000</v>
      </c>
      <c r="E6" s="21">
        <v>2001</v>
      </c>
      <c r="F6" s="21">
        <v>2002</v>
      </c>
      <c r="G6" s="21">
        <v>2003</v>
      </c>
      <c r="H6" s="21">
        <v>2004</v>
      </c>
      <c r="I6" s="21">
        <v>2005</v>
      </c>
      <c r="J6" s="21">
        <v>2006</v>
      </c>
      <c r="K6" s="21">
        <v>2007</v>
      </c>
      <c r="L6" s="21">
        <v>2008</v>
      </c>
      <c r="M6" s="21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21" t="s">
        <v>90</v>
      </c>
    </row>
    <row r="7" spans="1:22" ht="12.75">
      <c r="A7" s="20" t="s">
        <v>604</v>
      </c>
      <c r="B7" s="45">
        <v>51.11</v>
      </c>
      <c r="C7" s="28">
        <v>13754</v>
      </c>
      <c r="D7" s="28">
        <v>16623</v>
      </c>
      <c r="E7" s="28">
        <v>14704</v>
      </c>
      <c r="F7" s="28">
        <v>17261</v>
      </c>
      <c r="G7" s="28">
        <v>15722</v>
      </c>
      <c r="H7" s="28">
        <v>17906</v>
      </c>
      <c r="I7" s="28">
        <v>16941</v>
      </c>
      <c r="J7" s="28">
        <v>17243</v>
      </c>
      <c r="K7" s="28">
        <v>12729.96</v>
      </c>
      <c r="L7" s="28">
        <v>10399.17</v>
      </c>
      <c r="M7" s="28">
        <v>7428</v>
      </c>
      <c r="N7" s="2">
        <v>2089</v>
      </c>
      <c r="O7" s="28">
        <f aca="true" t="shared" si="0" ref="O7:O12">(12/$N$3)*N7</f>
        <v>4178</v>
      </c>
      <c r="P7" s="28">
        <v>8977</v>
      </c>
      <c r="Q7" s="28">
        <v>13650</v>
      </c>
      <c r="R7" s="28">
        <v>8977</v>
      </c>
      <c r="S7" s="28">
        <v>8977</v>
      </c>
      <c r="T7" s="48">
        <f>(S7-P7)/P7</f>
        <v>0</v>
      </c>
      <c r="V7" s="42"/>
    </row>
    <row r="8" spans="1:20" ht="12.75" hidden="1">
      <c r="A8" s="20" t="s">
        <v>640</v>
      </c>
      <c r="B8" s="45"/>
      <c r="C8" s="28"/>
      <c r="D8" s="28"/>
      <c r="E8" s="28"/>
      <c r="F8" s="28"/>
      <c r="G8" s="28"/>
      <c r="H8" s="28"/>
      <c r="I8" s="28">
        <v>114672</v>
      </c>
      <c r="J8" s="28"/>
      <c r="K8" s="28"/>
      <c r="L8" s="28"/>
      <c r="M8" s="28"/>
      <c r="N8" s="28"/>
      <c r="O8" s="28">
        <f t="shared" si="0"/>
        <v>0</v>
      </c>
      <c r="P8" s="28"/>
      <c r="Q8" s="28"/>
      <c r="R8" s="28"/>
      <c r="S8" s="28"/>
      <c r="T8" s="48"/>
    </row>
    <row r="9" spans="1:20" ht="12.75" hidden="1">
      <c r="A9" s="20" t="s">
        <v>359</v>
      </c>
      <c r="B9" s="45">
        <v>51.113</v>
      </c>
      <c r="C9" s="28"/>
      <c r="D9" s="28"/>
      <c r="E9" s="28"/>
      <c r="F9" s="28">
        <v>7219</v>
      </c>
      <c r="G9" s="28"/>
      <c r="H9" s="28"/>
      <c r="I9" s="28"/>
      <c r="J9" s="28"/>
      <c r="K9" s="28"/>
      <c r="L9" s="28"/>
      <c r="M9" s="28"/>
      <c r="N9" s="28"/>
      <c r="O9" s="28">
        <f t="shared" si="0"/>
        <v>0</v>
      </c>
      <c r="P9" s="28"/>
      <c r="Q9" s="28"/>
      <c r="R9" s="28"/>
      <c r="S9" s="28"/>
      <c r="T9" s="48"/>
    </row>
    <row r="10" spans="1:20" ht="12.75" hidden="1">
      <c r="A10" s="20" t="s">
        <v>361</v>
      </c>
      <c r="B10" s="45">
        <v>51.12</v>
      </c>
      <c r="C10" s="28"/>
      <c r="D10" s="28">
        <v>749</v>
      </c>
      <c r="E10" s="28"/>
      <c r="F10" s="28">
        <v>4490</v>
      </c>
      <c r="G10" s="28">
        <v>4235</v>
      </c>
      <c r="H10" s="28">
        <v>3692</v>
      </c>
      <c r="I10" s="28">
        <v>11</v>
      </c>
      <c r="J10" s="28"/>
      <c r="K10" s="28"/>
      <c r="L10" s="28">
        <v>0</v>
      </c>
      <c r="M10" s="28"/>
      <c r="N10" s="28"/>
      <c r="O10" s="28">
        <f t="shared" si="0"/>
        <v>0</v>
      </c>
      <c r="P10" s="28"/>
      <c r="Q10" s="28"/>
      <c r="R10" s="28"/>
      <c r="S10" s="28"/>
      <c r="T10" s="48"/>
    </row>
    <row r="11" spans="1:21" ht="12.75">
      <c r="A11" s="20" t="s">
        <v>133</v>
      </c>
      <c r="B11" s="45">
        <v>51.21</v>
      </c>
      <c r="C11" s="28">
        <v>1879</v>
      </c>
      <c r="D11" s="28">
        <v>2500</v>
      </c>
      <c r="E11" s="28">
        <v>3160</v>
      </c>
      <c r="F11" s="28">
        <v>5106</v>
      </c>
      <c r="G11" s="28">
        <v>3301</v>
      </c>
      <c r="H11" s="28">
        <v>3163</v>
      </c>
      <c r="I11" s="28">
        <v>7492</v>
      </c>
      <c r="J11" s="28">
        <v>3454</v>
      </c>
      <c r="K11" s="28">
        <v>2710</v>
      </c>
      <c r="L11" s="28">
        <f>2400+100</f>
        <v>2500</v>
      </c>
      <c r="M11" s="28"/>
      <c r="N11" s="28">
        <v>2688</v>
      </c>
      <c r="O11" s="28">
        <f t="shared" si="0"/>
        <v>5376</v>
      </c>
      <c r="P11" s="28"/>
      <c r="Q11" s="28"/>
      <c r="R11" s="28"/>
      <c r="S11" s="28"/>
      <c r="T11" s="48"/>
      <c r="U11" s="2"/>
    </row>
    <row r="12" spans="1:21" ht="12.75">
      <c r="A12" s="20" t="s">
        <v>317</v>
      </c>
      <c r="B12" s="45">
        <v>51.211</v>
      </c>
      <c r="C12" s="28"/>
      <c r="D12" s="28"/>
      <c r="E12" s="28"/>
      <c r="F12" s="28">
        <v>26200</v>
      </c>
      <c r="G12" s="28">
        <v>30200</v>
      </c>
      <c r="H12" s="28">
        <v>36350</v>
      </c>
      <c r="I12" s="28">
        <v>32600</v>
      </c>
      <c r="J12" s="28">
        <v>36500</v>
      </c>
      <c r="K12" s="28">
        <v>31700</v>
      </c>
      <c r="L12" s="28">
        <v>27400</v>
      </c>
      <c r="M12" s="28">
        <v>30800</v>
      </c>
      <c r="N12" s="2">
        <v>12700</v>
      </c>
      <c r="O12" s="28">
        <f t="shared" si="0"/>
        <v>25400</v>
      </c>
      <c r="P12" s="28">
        <v>33480</v>
      </c>
      <c r="Q12" s="28">
        <v>29000</v>
      </c>
      <c r="R12" s="28">
        <v>29000</v>
      </c>
      <c r="S12" s="28">
        <v>29000</v>
      </c>
      <c r="T12" s="48">
        <f>(S12-P12)/P12</f>
        <v>-0.13381123058542413</v>
      </c>
      <c r="U12"/>
    </row>
    <row r="13" spans="1:21" ht="12.75">
      <c r="A13" s="20" t="s">
        <v>113</v>
      </c>
      <c r="B13" s="45">
        <v>51.22</v>
      </c>
      <c r="C13" s="28">
        <v>1052</v>
      </c>
      <c r="D13" s="28">
        <v>1329</v>
      </c>
      <c r="E13" s="28">
        <v>1124</v>
      </c>
      <c r="F13" s="28">
        <v>1677</v>
      </c>
      <c r="G13" s="28">
        <v>3775</v>
      </c>
      <c r="H13" s="28">
        <v>1652</v>
      </c>
      <c r="I13" s="28">
        <v>10064</v>
      </c>
      <c r="J13" s="28">
        <v>1319</v>
      </c>
      <c r="K13" s="28">
        <v>974</v>
      </c>
      <c r="L13" s="28">
        <v>795.35</v>
      </c>
      <c r="M13" s="28">
        <v>568</v>
      </c>
      <c r="N13" s="28">
        <v>160</v>
      </c>
      <c r="O13" s="28">
        <f>0.0765*O7</f>
        <v>319.617</v>
      </c>
      <c r="P13" s="28">
        <v>686.7405</v>
      </c>
      <c r="Q13" s="28">
        <f>0.0765*Q7</f>
        <v>1044.225</v>
      </c>
      <c r="R13" s="28">
        <f>0.0765*R7</f>
        <v>686.7405</v>
      </c>
      <c r="S13" s="28">
        <f>0.0765*S7</f>
        <v>686.7405</v>
      </c>
      <c r="T13" s="48">
        <f>(S13-P13)/P13</f>
        <v>0</v>
      </c>
      <c r="U13" s="42"/>
    </row>
    <row r="14" spans="1:21" ht="12.75">
      <c r="A14" s="20" t="s">
        <v>140</v>
      </c>
      <c r="B14" s="45">
        <v>51.26</v>
      </c>
      <c r="C14" s="28">
        <v>7518</v>
      </c>
      <c r="D14" s="28">
        <v>4761</v>
      </c>
      <c r="E14" s="28">
        <v>16816</v>
      </c>
      <c r="F14" s="28">
        <v>4860</v>
      </c>
      <c r="G14" s="28">
        <v>6769</v>
      </c>
      <c r="H14" s="28">
        <v>4233</v>
      </c>
      <c r="I14" s="28">
        <v>1631</v>
      </c>
      <c r="J14" s="28">
        <v>6842</v>
      </c>
      <c r="K14" s="28">
        <f>10393+4480</f>
        <v>14873</v>
      </c>
      <c r="L14" s="28">
        <v>0</v>
      </c>
      <c r="M14" s="28">
        <v>-1094</v>
      </c>
      <c r="N14" s="2">
        <v>598</v>
      </c>
      <c r="O14" s="28">
        <v>598</v>
      </c>
      <c r="P14" s="28"/>
      <c r="Q14" s="28"/>
      <c r="R14" s="28"/>
      <c r="S14" s="28"/>
      <c r="T14" s="48" t="e">
        <f>(S14-P14)/P14</f>
        <v>#DIV/0!</v>
      </c>
      <c r="U14" s="28" t="s">
        <v>464</v>
      </c>
    </row>
    <row r="15" spans="1:20" ht="12.75" hidden="1">
      <c r="A15" s="20" t="s">
        <v>141</v>
      </c>
      <c r="B15" s="45">
        <v>51.291</v>
      </c>
      <c r="C15" s="28"/>
      <c r="D15" s="28"/>
      <c r="E15" s="28"/>
      <c r="F15" s="28">
        <v>24911</v>
      </c>
      <c r="G15" s="28">
        <v>29391</v>
      </c>
      <c r="H15" s="28"/>
      <c r="I15" s="28"/>
      <c r="J15" s="28"/>
      <c r="K15" s="28"/>
      <c r="L15" s="28">
        <v>0</v>
      </c>
      <c r="M15" s="28"/>
      <c r="N15" s="28"/>
      <c r="O15" s="28"/>
      <c r="P15" s="28"/>
      <c r="Q15" s="28"/>
      <c r="R15" s="28"/>
      <c r="S15" s="28"/>
      <c r="T15" s="48"/>
    </row>
    <row r="16" spans="2:20" ht="12.75">
      <c r="B16" s="4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48"/>
    </row>
    <row r="17" spans="1:22" ht="12.75">
      <c r="A17" s="20" t="s">
        <v>652</v>
      </c>
      <c r="B17" s="45">
        <v>52.1205</v>
      </c>
      <c r="C17" s="28"/>
      <c r="D17" s="28"/>
      <c r="E17" s="28"/>
      <c r="F17" s="28"/>
      <c r="G17" s="28"/>
      <c r="H17" s="28"/>
      <c r="I17" s="28"/>
      <c r="J17" s="28">
        <v>750</v>
      </c>
      <c r="K17" s="28">
        <v>750</v>
      </c>
      <c r="L17" s="28">
        <v>750</v>
      </c>
      <c r="M17" s="28">
        <v>750</v>
      </c>
      <c r="N17" s="28">
        <v>0</v>
      </c>
      <c r="O17" s="28"/>
      <c r="P17" s="28">
        <v>750</v>
      </c>
      <c r="Q17" s="28">
        <v>750</v>
      </c>
      <c r="R17" s="28">
        <v>750</v>
      </c>
      <c r="S17" s="28">
        <v>750</v>
      </c>
      <c r="T17" s="48"/>
      <c r="V17" s="28"/>
    </row>
    <row r="18" spans="1:20" ht="12.75" hidden="1">
      <c r="A18" s="20" t="s">
        <v>180</v>
      </c>
      <c r="B18" s="45">
        <v>52.121</v>
      </c>
      <c r="C18" s="28"/>
      <c r="D18" s="28"/>
      <c r="E18" s="28"/>
      <c r="F18" s="28">
        <v>219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8"/>
    </row>
    <row r="19" spans="1:20" ht="12.75">
      <c r="A19" s="20" t="s">
        <v>142</v>
      </c>
      <c r="B19" s="45">
        <v>52.126</v>
      </c>
      <c r="C19" s="28">
        <v>5623</v>
      </c>
      <c r="D19" s="28">
        <v>2904</v>
      </c>
      <c r="E19" s="28">
        <v>734</v>
      </c>
      <c r="F19" s="28">
        <v>7591</v>
      </c>
      <c r="G19" s="28">
        <v>5906</v>
      </c>
      <c r="H19" s="28">
        <v>3902</v>
      </c>
      <c r="I19" s="28">
        <v>5518</v>
      </c>
      <c r="J19" s="28">
        <v>5296</v>
      </c>
      <c r="K19" s="28">
        <v>4554</v>
      </c>
      <c r="L19" s="28">
        <f>5740+295</f>
        <v>6035</v>
      </c>
      <c r="M19" s="28">
        <v>4043</v>
      </c>
      <c r="N19" s="28">
        <v>1955</v>
      </c>
      <c r="O19" s="28">
        <f>(12/$N$3)*N19</f>
        <v>3910</v>
      </c>
      <c r="P19" s="28">
        <v>5300</v>
      </c>
      <c r="Q19" s="28">
        <v>4500</v>
      </c>
      <c r="R19" s="28">
        <v>4500</v>
      </c>
      <c r="S19" s="28">
        <v>4500</v>
      </c>
      <c r="T19" s="48">
        <f>(S19-P19)/P19</f>
        <v>-0.1509433962264151</v>
      </c>
    </row>
    <row r="20" spans="1:20" ht="12.75">
      <c r="A20" s="20" t="s">
        <v>360</v>
      </c>
      <c r="B20" s="45">
        <v>52.1302</v>
      </c>
      <c r="C20" s="28"/>
      <c r="D20" s="28"/>
      <c r="E20" s="28"/>
      <c r="F20" s="28">
        <v>1494</v>
      </c>
      <c r="G20" s="28">
        <v>1494</v>
      </c>
      <c r="H20" s="28">
        <v>389</v>
      </c>
      <c r="I20" s="28"/>
      <c r="J20" s="28"/>
      <c r="K20" s="28">
        <v>3113</v>
      </c>
      <c r="L20" s="28">
        <v>1829</v>
      </c>
      <c r="M20" s="28">
        <v>1200</v>
      </c>
      <c r="N20" s="28">
        <v>0</v>
      </c>
      <c r="O20" s="28">
        <v>1200</v>
      </c>
      <c r="P20" s="28">
        <v>1200</v>
      </c>
      <c r="Q20" s="28">
        <v>1200</v>
      </c>
      <c r="R20" s="28">
        <v>1200</v>
      </c>
      <c r="S20" s="28">
        <v>1200</v>
      </c>
      <c r="T20" s="48">
        <f>(S20-P20)/P20</f>
        <v>0</v>
      </c>
    </row>
    <row r="21" spans="1:20" ht="12.75" hidden="1">
      <c r="A21" s="20" t="s">
        <v>329</v>
      </c>
      <c r="B21" s="45">
        <v>52.1305</v>
      </c>
      <c r="C21" s="28"/>
      <c r="D21" s="28"/>
      <c r="E21" s="28">
        <v>90</v>
      </c>
      <c r="F21" s="28">
        <v>300</v>
      </c>
      <c r="G21" s="28"/>
      <c r="H21" s="28"/>
      <c r="I21" s="28"/>
      <c r="J21" s="28"/>
      <c r="K21" s="28"/>
      <c r="L21" s="28"/>
      <c r="M21" s="28"/>
      <c r="N21" s="28"/>
      <c r="O21" s="28">
        <v>0</v>
      </c>
      <c r="P21" s="28"/>
      <c r="Q21" s="28"/>
      <c r="R21" s="28"/>
      <c r="S21" s="28"/>
      <c r="T21" s="48"/>
    </row>
    <row r="22" spans="1:21" ht="12.75">
      <c r="A22" s="20" t="s">
        <v>561</v>
      </c>
      <c r="B22" s="45">
        <v>52.1309</v>
      </c>
      <c r="C22" s="28"/>
      <c r="D22" s="28"/>
      <c r="E22" s="28"/>
      <c r="F22" s="28"/>
      <c r="G22" s="28"/>
      <c r="H22" s="28"/>
      <c r="I22" s="28">
        <v>350</v>
      </c>
      <c r="J22" s="28">
        <v>350</v>
      </c>
      <c r="K22" s="28">
        <v>400</v>
      </c>
      <c r="L22" s="28">
        <v>400</v>
      </c>
      <c r="M22" s="28"/>
      <c r="N22" s="28">
        <v>0</v>
      </c>
      <c r="O22" s="28"/>
      <c r="P22" s="28"/>
      <c r="Q22" s="28"/>
      <c r="R22" s="28"/>
      <c r="S22" s="28"/>
      <c r="T22" s="48"/>
      <c r="U22" s="20" t="s">
        <v>338</v>
      </c>
    </row>
    <row r="23" spans="1:20" ht="12.75">
      <c r="A23" s="20" t="s">
        <v>143</v>
      </c>
      <c r="B23" s="45">
        <v>52.131</v>
      </c>
      <c r="C23" s="28">
        <v>1625</v>
      </c>
      <c r="D23" s="28">
        <v>900</v>
      </c>
      <c r="E23" s="28">
        <v>1062</v>
      </c>
      <c r="F23" s="28">
        <v>1835</v>
      </c>
      <c r="G23" s="28">
        <v>1637</v>
      </c>
      <c r="H23" s="28">
        <v>300</v>
      </c>
      <c r="I23" s="28">
        <v>977</v>
      </c>
      <c r="J23" s="28">
        <v>2475</v>
      </c>
      <c r="K23" s="28">
        <v>2835</v>
      </c>
      <c r="L23" s="28">
        <v>2820</v>
      </c>
      <c r="M23" s="28">
        <v>2940</v>
      </c>
      <c r="N23" s="2">
        <v>3192</v>
      </c>
      <c r="O23" s="28">
        <v>3200</v>
      </c>
      <c r="P23" s="28">
        <v>3000</v>
      </c>
      <c r="Q23" s="28">
        <v>3200</v>
      </c>
      <c r="R23" s="28">
        <v>3200</v>
      </c>
      <c r="S23" s="28">
        <v>3200</v>
      </c>
      <c r="T23" s="48">
        <f>(S23-P23)/P23</f>
        <v>0.06666666666666667</v>
      </c>
    </row>
    <row r="24" spans="1:20" ht="12.75">
      <c r="A24" s="20" t="s">
        <v>144</v>
      </c>
      <c r="B24" s="45">
        <v>52.1312</v>
      </c>
      <c r="C24" s="28"/>
      <c r="D24" s="28"/>
      <c r="E24" s="28">
        <v>558</v>
      </c>
      <c r="F24" s="28">
        <v>745</v>
      </c>
      <c r="G24" s="28">
        <v>685</v>
      </c>
      <c r="H24" s="28">
        <v>1368</v>
      </c>
      <c r="I24" s="28">
        <v>1618</v>
      </c>
      <c r="J24" s="28">
        <v>1483</v>
      </c>
      <c r="K24" s="28">
        <v>2780</v>
      </c>
      <c r="L24" s="28">
        <v>3100</v>
      </c>
      <c r="M24" s="28">
        <v>2544</v>
      </c>
      <c r="N24" s="11">
        <v>1512</v>
      </c>
      <c r="O24" s="28">
        <f>(12/$N$3)*N24</f>
        <v>3024</v>
      </c>
      <c r="P24" s="28">
        <v>2000</v>
      </c>
      <c r="Q24" s="28">
        <v>3000</v>
      </c>
      <c r="R24" s="28">
        <v>3000</v>
      </c>
      <c r="S24" s="28">
        <v>3000</v>
      </c>
      <c r="T24" s="48">
        <f>(S24-P24)/P24</f>
        <v>0.5</v>
      </c>
    </row>
    <row r="25" spans="1:21" ht="12.75">
      <c r="A25" s="20" t="s">
        <v>56</v>
      </c>
      <c r="B25" s="45">
        <v>52.1316</v>
      </c>
      <c r="C25" s="28">
        <v>3015</v>
      </c>
      <c r="D25" s="28">
        <v>4244</v>
      </c>
      <c r="E25" s="28">
        <v>1865</v>
      </c>
      <c r="F25" s="28">
        <v>105</v>
      </c>
      <c r="G25" s="28">
        <v>1531</v>
      </c>
      <c r="H25" s="28">
        <v>1684</v>
      </c>
      <c r="I25" s="28">
        <v>1853</v>
      </c>
      <c r="J25" s="28">
        <v>2038</v>
      </c>
      <c r="K25" s="28">
        <v>2242</v>
      </c>
      <c r="L25" s="28">
        <v>0</v>
      </c>
      <c r="M25" s="28">
        <v>1285</v>
      </c>
      <c r="N25" s="11">
        <v>948</v>
      </c>
      <c r="O25" s="28">
        <f>(12/$N$3)*N25</f>
        <v>1896</v>
      </c>
      <c r="P25" s="28">
        <v>1650</v>
      </c>
      <c r="Q25" s="28">
        <v>1900</v>
      </c>
      <c r="R25" s="28">
        <v>1900</v>
      </c>
      <c r="S25" s="28">
        <v>1900</v>
      </c>
      <c r="T25" s="48">
        <f>(S25-P25)/P25</f>
        <v>0.15151515151515152</v>
      </c>
      <c r="U25" s="20" t="s">
        <v>526</v>
      </c>
    </row>
    <row r="26" spans="1:20" ht="12.75">
      <c r="A26" s="20" t="s">
        <v>394</v>
      </c>
      <c r="B26" s="45">
        <v>52.1319</v>
      </c>
      <c r="C26" s="28"/>
      <c r="D26" s="28"/>
      <c r="E26" s="28">
        <v>376</v>
      </c>
      <c r="F26" s="28"/>
      <c r="G26" s="28">
        <v>2660</v>
      </c>
      <c r="H26" s="28">
        <v>1239</v>
      </c>
      <c r="I26" s="28">
        <v>1318</v>
      </c>
      <c r="J26" s="28">
        <v>1449</v>
      </c>
      <c r="K26" s="28">
        <v>1823</v>
      </c>
      <c r="L26" s="28">
        <v>1449</v>
      </c>
      <c r="M26" s="28">
        <v>1344</v>
      </c>
      <c r="N26" s="11">
        <v>539</v>
      </c>
      <c r="O26" s="28">
        <f>(12/$N$3)*N26</f>
        <v>1078</v>
      </c>
      <c r="P26" s="28">
        <v>1400</v>
      </c>
      <c r="Q26" s="28">
        <v>1400</v>
      </c>
      <c r="R26" s="28">
        <v>1400</v>
      </c>
      <c r="S26" s="28">
        <v>1400</v>
      </c>
      <c r="T26" s="48">
        <f>(S26-P26)/P26</f>
        <v>0</v>
      </c>
    </row>
    <row r="27" spans="1:20" ht="12.75">
      <c r="A27" s="20" t="s">
        <v>523</v>
      </c>
      <c r="B27" s="45">
        <v>52.2206</v>
      </c>
      <c r="C27" s="28"/>
      <c r="D27" s="28"/>
      <c r="E27" s="28"/>
      <c r="F27" s="28"/>
      <c r="G27" s="28"/>
      <c r="H27" s="28"/>
      <c r="I27" s="28"/>
      <c r="J27" s="28"/>
      <c r="K27" s="28">
        <v>561</v>
      </c>
      <c r="L27" s="28">
        <v>365</v>
      </c>
      <c r="M27" s="28">
        <v>150</v>
      </c>
      <c r="N27" s="11">
        <v>10</v>
      </c>
      <c r="O27" s="28">
        <v>10</v>
      </c>
      <c r="P27" s="28"/>
      <c r="Q27" s="28"/>
      <c r="R27" s="28"/>
      <c r="S27" s="28"/>
      <c r="T27" s="48"/>
    </row>
    <row r="28" spans="1:20" ht="12.75">
      <c r="A28" s="20" t="s">
        <v>116</v>
      </c>
      <c r="B28" s="45">
        <v>52.321</v>
      </c>
      <c r="C28" s="20">
        <v>376</v>
      </c>
      <c r="D28" s="20">
        <v>-38</v>
      </c>
      <c r="E28" s="28"/>
      <c r="F28" s="28">
        <v>5</v>
      </c>
      <c r="G28" s="28">
        <v>150</v>
      </c>
      <c r="H28" s="28">
        <v>1520</v>
      </c>
      <c r="I28" s="28">
        <v>1275</v>
      </c>
      <c r="J28" s="28">
        <v>2296</v>
      </c>
      <c r="K28" s="28">
        <v>1158</v>
      </c>
      <c r="L28" s="28">
        <f>1581+5</f>
        <v>1586</v>
      </c>
      <c r="M28" s="28">
        <v>1183</v>
      </c>
      <c r="N28" s="11">
        <v>675</v>
      </c>
      <c r="O28" s="28">
        <f>(12/$N$3)*N28</f>
        <v>1350</v>
      </c>
      <c r="P28" s="28">
        <v>1500</v>
      </c>
      <c r="Q28" s="28">
        <v>1500</v>
      </c>
      <c r="R28" s="28">
        <v>1500</v>
      </c>
      <c r="S28" s="28">
        <v>1500</v>
      </c>
      <c r="T28" s="48">
        <f>(S28-P28)/P28</f>
        <v>0</v>
      </c>
    </row>
    <row r="29" spans="1:21" ht="12.75">
      <c r="A29" s="20" t="s">
        <v>115</v>
      </c>
      <c r="B29" s="45">
        <v>52.32</v>
      </c>
      <c r="C29" s="28">
        <v>15200</v>
      </c>
      <c r="D29" s="28">
        <v>17341</v>
      </c>
      <c r="E29" s="28">
        <v>15986</v>
      </c>
      <c r="F29" s="28">
        <v>16288</v>
      </c>
      <c r="G29" s="28">
        <v>13454</v>
      </c>
      <c r="H29" s="28">
        <v>8232</v>
      </c>
      <c r="I29" s="28">
        <v>8100</v>
      </c>
      <c r="J29" s="28">
        <v>8600</v>
      </c>
      <c r="K29" s="28">
        <v>9131</v>
      </c>
      <c r="L29" s="28">
        <v>9064</v>
      </c>
      <c r="M29" s="28">
        <v>8815</v>
      </c>
      <c r="N29" s="2">
        <v>5017</v>
      </c>
      <c r="O29" s="28">
        <f>(12/$N$3)*N29</f>
        <v>10034</v>
      </c>
      <c r="P29" s="28">
        <v>9000</v>
      </c>
      <c r="Q29" s="28">
        <v>4400</v>
      </c>
      <c r="R29" s="28">
        <v>4400</v>
      </c>
      <c r="S29" s="28">
        <v>4400</v>
      </c>
      <c r="T29" s="48">
        <f>(S29-P29)/P29</f>
        <v>-0.5111111111111111</v>
      </c>
      <c r="U29" s="20" t="s">
        <v>541</v>
      </c>
    </row>
    <row r="30" spans="1:20" ht="12.75">
      <c r="A30" s="20" t="s">
        <v>137</v>
      </c>
      <c r="B30" s="45">
        <v>52.33</v>
      </c>
      <c r="C30" s="28"/>
      <c r="D30" s="28">
        <v>12977</v>
      </c>
      <c r="E30" s="28">
        <v>13697</v>
      </c>
      <c r="F30" s="28">
        <v>8658</v>
      </c>
      <c r="G30" s="28">
        <v>8792</v>
      </c>
      <c r="H30" s="28">
        <v>8050</v>
      </c>
      <c r="I30" s="28">
        <v>6340</v>
      </c>
      <c r="J30" s="28">
        <v>7937</v>
      </c>
      <c r="K30" s="28">
        <f>3836+2230</f>
        <v>6066</v>
      </c>
      <c r="L30" s="28">
        <f>3810+1909</f>
        <v>5719</v>
      </c>
      <c r="M30" s="28">
        <v>4252</v>
      </c>
      <c r="N30" s="11">
        <v>2637</v>
      </c>
      <c r="O30" s="28">
        <f>(12/$N$3)*N30</f>
        <v>5274</v>
      </c>
      <c r="P30" s="28">
        <v>5000</v>
      </c>
      <c r="Q30" s="28">
        <v>5300</v>
      </c>
      <c r="R30" s="28">
        <v>5300</v>
      </c>
      <c r="S30" s="28">
        <v>5300</v>
      </c>
      <c r="T30" s="48">
        <f>(S30-P30)/P30</f>
        <v>0.06</v>
      </c>
    </row>
    <row r="31" spans="1:20" ht="12.75" hidden="1">
      <c r="A31" s="20" t="s">
        <v>641</v>
      </c>
      <c r="B31" s="45">
        <v>52.34</v>
      </c>
      <c r="C31" s="28"/>
      <c r="D31" s="28"/>
      <c r="E31" s="28"/>
      <c r="F31" s="28"/>
      <c r="G31" s="28"/>
      <c r="H31" s="28"/>
      <c r="I31" s="28">
        <v>4867</v>
      </c>
      <c r="J31" s="28"/>
      <c r="K31" s="28"/>
      <c r="L31" s="28">
        <v>0</v>
      </c>
      <c r="M31" s="28"/>
      <c r="N31" s="28"/>
      <c r="O31" s="28">
        <f>(12/$N$3)*N31</f>
        <v>0</v>
      </c>
      <c r="P31" s="28"/>
      <c r="Q31" s="28"/>
      <c r="R31" s="28"/>
      <c r="S31" s="28"/>
      <c r="T31" s="48"/>
    </row>
    <row r="32" spans="1:20" ht="12.75" hidden="1">
      <c r="A32" s="20" t="s">
        <v>356</v>
      </c>
      <c r="B32" s="45">
        <v>52.361</v>
      </c>
      <c r="C32" s="28"/>
      <c r="D32" s="28"/>
      <c r="E32" s="28">
        <v>5701</v>
      </c>
      <c r="F32" s="28">
        <v>45</v>
      </c>
      <c r="G32" s="28">
        <v>60</v>
      </c>
      <c r="H32" s="28"/>
      <c r="I32" s="28"/>
      <c r="J32" s="28"/>
      <c r="K32" s="28"/>
      <c r="L32" s="28"/>
      <c r="M32" s="28"/>
      <c r="N32" s="28"/>
      <c r="O32" s="28">
        <f>(12/$N$3)*N32</f>
        <v>0</v>
      </c>
      <c r="P32" s="28"/>
      <c r="Q32" s="28"/>
      <c r="R32" s="28"/>
      <c r="S32" s="28"/>
      <c r="T32" s="48"/>
    </row>
    <row r="33" spans="1:20" ht="12.75" hidden="1">
      <c r="A33" s="20" t="s">
        <v>128</v>
      </c>
      <c r="B33" s="45">
        <v>52.35</v>
      </c>
      <c r="C33" s="28"/>
      <c r="D33" s="28"/>
      <c r="E33" s="28"/>
      <c r="F33" s="28"/>
      <c r="G33" s="28"/>
      <c r="H33" s="28"/>
      <c r="I33" s="28"/>
      <c r="J33" s="28"/>
      <c r="K33" s="28"/>
      <c r="L33" s="28">
        <v>0</v>
      </c>
      <c r="M33" s="28"/>
      <c r="N33" s="28"/>
      <c r="O33" s="28"/>
      <c r="P33" s="28"/>
      <c r="Q33" s="28"/>
      <c r="R33" s="28"/>
      <c r="S33" s="28"/>
      <c r="T33" s="48"/>
    </row>
    <row r="34" spans="1:21" ht="12.75" hidden="1">
      <c r="A34" s="20" t="s">
        <v>358</v>
      </c>
      <c r="B34" s="45">
        <v>52.37</v>
      </c>
      <c r="C34" s="28"/>
      <c r="D34" s="28"/>
      <c r="E34" s="28"/>
      <c r="F34" s="28"/>
      <c r="G34" s="28">
        <v>299</v>
      </c>
      <c r="H34" s="28">
        <v>1033</v>
      </c>
      <c r="I34" s="28">
        <v>130</v>
      </c>
      <c r="J34" s="28">
        <f>60+78</f>
        <v>138</v>
      </c>
      <c r="K34" s="28"/>
      <c r="L34" s="28">
        <v>0</v>
      </c>
      <c r="M34" s="28"/>
      <c r="N34" s="28"/>
      <c r="O34" s="28">
        <f>(12/$N$3)*N34</f>
        <v>0</v>
      </c>
      <c r="P34" s="28"/>
      <c r="Q34" s="28"/>
      <c r="R34" s="28"/>
      <c r="S34" s="28"/>
      <c r="T34" s="48"/>
      <c r="U34" s="28"/>
    </row>
    <row r="35" spans="1:21" ht="12.75" hidden="1">
      <c r="A35" s="20" t="s">
        <v>39</v>
      </c>
      <c r="B35" s="45"/>
      <c r="C35" s="28"/>
      <c r="D35" s="28"/>
      <c r="E35" s="28"/>
      <c r="F35" s="28"/>
      <c r="G35" s="28"/>
      <c r="H35" s="28"/>
      <c r="I35" s="28"/>
      <c r="J35" s="28"/>
      <c r="K35" s="28"/>
      <c r="L35" s="28">
        <v>0</v>
      </c>
      <c r="M35" s="28"/>
      <c r="N35" s="28"/>
      <c r="O35" s="28"/>
      <c r="P35" s="28"/>
      <c r="Q35" s="28"/>
      <c r="R35" s="28"/>
      <c r="S35" s="28"/>
      <c r="T35" s="48"/>
      <c r="U35" s="28"/>
    </row>
    <row r="36" spans="2:21" ht="12.75"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8"/>
      <c r="U36" s="28"/>
    </row>
    <row r="37" spans="1:20" ht="12.75" hidden="1">
      <c r="A37" s="20" t="s">
        <v>146</v>
      </c>
      <c r="B37" s="45">
        <v>53.1321</v>
      </c>
      <c r="C37" s="28"/>
      <c r="D37" s="28">
        <v>1065</v>
      </c>
      <c r="E37" s="28">
        <v>1065</v>
      </c>
      <c r="F37" s="28">
        <v>2000</v>
      </c>
      <c r="G37" s="28"/>
      <c r="H37" s="28"/>
      <c r="I37" s="28"/>
      <c r="J37" s="28"/>
      <c r="K37" s="28"/>
      <c r="L37" s="28"/>
      <c r="M37" s="28"/>
      <c r="N37" s="28"/>
      <c r="O37" s="28">
        <v>0</v>
      </c>
      <c r="P37" s="28"/>
      <c r="Q37" s="28"/>
      <c r="R37" s="28"/>
      <c r="S37" s="28"/>
      <c r="T37" s="48"/>
    </row>
    <row r="38" spans="1:20" ht="12.75" hidden="1">
      <c r="A38" s="20" t="s">
        <v>147</v>
      </c>
      <c r="B38" s="45">
        <v>53.134</v>
      </c>
      <c r="C38" s="28">
        <v>1310</v>
      </c>
      <c r="D38" s="28">
        <v>1550</v>
      </c>
      <c r="E38" s="28">
        <v>1385</v>
      </c>
      <c r="F38" s="28">
        <v>1685</v>
      </c>
      <c r="G38" s="28">
        <v>1632</v>
      </c>
      <c r="H38" s="28"/>
      <c r="I38" s="28"/>
      <c r="J38" s="28"/>
      <c r="K38" s="28"/>
      <c r="L38" s="28"/>
      <c r="M38" s="28"/>
      <c r="N38" s="28"/>
      <c r="O38" s="28">
        <v>0</v>
      </c>
      <c r="P38" s="28"/>
      <c r="Q38" s="28"/>
      <c r="R38" s="28"/>
      <c r="S38" s="28"/>
      <c r="T38" s="48"/>
    </row>
    <row r="39" spans="1:20" ht="12.75" hidden="1">
      <c r="A39" s="20" t="s">
        <v>520</v>
      </c>
      <c r="B39" s="45">
        <v>53.16</v>
      </c>
      <c r="C39" s="28"/>
      <c r="D39" s="28"/>
      <c r="E39" s="28"/>
      <c r="F39" s="28"/>
      <c r="G39" s="28"/>
      <c r="H39" s="28"/>
      <c r="I39" s="28"/>
      <c r="J39" s="28">
        <v>2310</v>
      </c>
      <c r="K39" s="28"/>
      <c r="L39" s="28"/>
      <c r="M39" s="28"/>
      <c r="N39" s="28"/>
      <c r="O39" s="28"/>
      <c r="P39" s="28"/>
      <c r="Q39" s="28"/>
      <c r="R39" s="28"/>
      <c r="S39" s="28"/>
      <c r="T39" s="48"/>
    </row>
    <row r="40" spans="1:20" ht="12.75" hidden="1">
      <c r="A40" s="20" t="s">
        <v>357</v>
      </c>
      <c r="B40" s="45">
        <v>53.1702</v>
      </c>
      <c r="C40" s="28"/>
      <c r="D40" s="28">
        <v>5463</v>
      </c>
      <c r="E40" s="28">
        <v>45</v>
      </c>
      <c r="F40" s="28"/>
      <c r="G40" s="28"/>
      <c r="H40" s="28"/>
      <c r="I40" s="28"/>
      <c r="J40" s="28"/>
      <c r="K40" s="28"/>
      <c r="L40" s="28"/>
      <c r="M40" s="28"/>
      <c r="N40" s="28"/>
      <c r="O40" s="28">
        <f>(12/$N$3)*N40</f>
        <v>0</v>
      </c>
      <c r="P40" s="28"/>
      <c r="Q40" s="28"/>
      <c r="R40" s="28"/>
      <c r="S40" s="28"/>
      <c r="T40" s="48"/>
    </row>
    <row r="41" spans="1:20" ht="12.75">
      <c r="A41" s="20" t="s">
        <v>148</v>
      </c>
      <c r="B41" s="45">
        <v>53.1704</v>
      </c>
      <c r="C41" s="28">
        <v>9097</v>
      </c>
      <c r="D41" s="28">
        <v>4013</v>
      </c>
      <c r="E41" s="28">
        <v>3762</v>
      </c>
      <c r="F41" s="28">
        <v>2544</v>
      </c>
      <c r="G41" s="28">
        <v>3127</v>
      </c>
      <c r="H41" s="28">
        <v>590</v>
      </c>
      <c r="I41" s="28">
        <v>2200</v>
      </c>
      <c r="J41" s="28">
        <f>36+3337</f>
        <v>3373</v>
      </c>
      <c r="K41" s="28">
        <v>6466</v>
      </c>
      <c r="L41" s="28">
        <f>3626+76</f>
        <v>3702</v>
      </c>
      <c r="M41" s="28">
        <v>910</v>
      </c>
      <c r="N41" s="11">
        <v>320</v>
      </c>
      <c r="O41" s="28">
        <f>(12/$N$3)*N41</f>
        <v>640</v>
      </c>
      <c r="P41" s="28">
        <v>1500</v>
      </c>
      <c r="Q41" s="28">
        <v>1500</v>
      </c>
      <c r="R41" s="28">
        <v>1500</v>
      </c>
      <c r="S41" s="28">
        <v>1500</v>
      </c>
      <c r="T41" s="48">
        <f>(S41-P41)/P41</f>
        <v>0</v>
      </c>
    </row>
    <row r="42" spans="1:20" ht="12.75">
      <c r="A42" s="20" t="s">
        <v>123</v>
      </c>
      <c r="B42" s="45">
        <v>53.171</v>
      </c>
      <c r="C42" s="28">
        <v>3500</v>
      </c>
      <c r="D42" s="28">
        <v>5080</v>
      </c>
      <c r="E42" s="28">
        <v>6741</v>
      </c>
      <c r="F42" s="28">
        <v>5447</v>
      </c>
      <c r="G42" s="28">
        <v>9187</v>
      </c>
      <c r="H42" s="28">
        <v>6428</v>
      </c>
      <c r="I42" s="28">
        <v>8048</v>
      </c>
      <c r="J42" s="28">
        <v>12273</v>
      </c>
      <c r="K42" s="28">
        <v>9361</v>
      </c>
      <c r="L42" s="28">
        <v>8533</v>
      </c>
      <c r="M42" s="28">
        <v>4329</v>
      </c>
      <c r="N42" s="11">
        <v>2454</v>
      </c>
      <c r="O42" s="28">
        <f>(12/$N$3)*N42</f>
        <v>4908</v>
      </c>
      <c r="P42" s="28">
        <v>6000</v>
      </c>
      <c r="Q42" s="28">
        <v>6000</v>
      </c>
      <c r="R42" s="28">
        <v>6000</v>
      </c>
      <c r="S42" s="28">
        <v>6000</v>
      </c>
      <c r="T42" s="48">
        <f>(S42-P42)/P42</f>
        <v>0</v>
      </c>
    </row>
    <row r="43" spans="1:20" ht="12.75" hidden="1">
      <c r="A43" s="20" t="s">
        <v>579</v>
      </c>
      <c r="B43" s="45">
        <v>53.1729</v>
      </c>
      <c r="C43" s="28"/>
      <c r="D43" s="28"/>
      <c r="E43" s="28"/>
      <c r="F43" s="28"/>
      <c r="G43" s="28"/>
      <c r="H43" s="28"/>
      <c r="I43" s="28">
        <v>1995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48"/>
    </row>
    <row r="44" spans="1:20" ht="12.75" hidden="1">
      <c r="A44" s="20" t="s">
        <v>149</v>
      </c>
      <c r="B44" s="45">
        <v>53.172</v>
      </c>
      <c r="C44" s="28">
        <v>120</v>
      </c>
      <c r="D44" s="28">
        <v>160</v>
      </c>
      <c r="E44" s="28"/>
      <c r="F44" s="28">
        <v>116</v>
      </c>
      <c r="G44" s="28"/>
      <c r="H44" s="28">
        <v>74</v>
      </c>
      <c r="I44" s="28"/>
      <c r="J44" s="28">
        <v>226</v>
      </c>
      <c r="K44" s="28"/>
      <c r="L44" s="28"/>
      <c r="M44" s="28"/>
      <c r="N44" s="28"/>
      <c r="O44" s="28">
        <f aca="true" t="shared" si="1" ref="O44:O50">(12/$N$3)*N44</f>
        <v>0</v>
      </c>
      <c r="P44" s="28"/>
      <c r="Q44" s="28"/>
      <c r="R44" s="28"/>
      <c r="S44" s="28"/>
      <c r="T44" s="48"/>
    </row>
    <row r="45" spans="1:20" ht="12.75">
      <c r="A45" s="20" t="s">
        <v>150</v>
      </c>
      <c r="B45" s="45">
        <v>53.175</v>
      </c>
      <c r="C45" s="28">
        <v>280</v>
      </c>
      <c r="D45" s="28">
        <v>56</v>
      </c>
      <c r="E45" s="28">
        <v>2415</v>
      </c>
      <c r="F45" s="28">
        <v>709</v>
      </c>
      <c r="G45" s="28">
        <v>420</v>
      </c>
      <c r="H45" s="28">
        <v>1277</v>
      </c>
      <c r="I45" s="28">
        <v>2005</v>
      </c>
      <c r="J45" s="28">
        <f>1743+66</f>
        <v>1809</v>
      </c>
      <c r="K45" s="28">
        <f>2240+28</f>
        <v>2268</v>
      </c>
      <c r="L45" s="28">
        <v>2846</v>
      </c>
      <c r="M45" s="28">
        <v>1918</v>
      </c>
      <c r="N45" s="28">
        <v>490</v>
      </c>
      <c r="O45" s="28">
        <f t="shared" si="1"/>
        <v>980</v>
      </c>
      <c r="P45" s="28">
        <v>1900</v>
      </c>
      <c r="Q45" s="28">
        <v>1900</v>
      </c>
      <c r="R45" s="28">
        <v>1900</v>
      </c>
      <c r="S45" s="28">
        <v>1900</v>
      </c>
      <c r="T45" s="48">
        <f>(S45-P45)/P45</f>
        <v>0</v>
      </c>
    </row>
    <row r="46" spans="1:20" ht="12.75">
      <c r="A46" s="20" t="s">
        <v>151</v>
      </c>
      <c r="B46" s="45">
        <v>53.176</v>
      </c>
      <c r="C46" s="28">
        <v>11</v>
      </c>
      <c r="D46" s="28">
        <v>3</v>
      </c>
      <c r="E46" s="28">
        <v>95</v>
      </c>
      <c r="F46" s="28">
        <v>70</v>
      </c>
      <c r="G46" s="28">
        <v>94</v>
      </c>
      <c r="H46" s="28">
        <v>210</v>
      </c>
      <c r="I46" s="28">
        <v>174</v>
      </c>
      <c r="J46" s="28">
        <v>266</v>
      </c>
      <c r="K46" s="28">
        <v>319</v>
      </c>
      <c r="L46" s="28">
        <v>282</v>
      </c>
      <c r="M46" s="28">
        <v>407</v>
      </c>
      <c r="N46" s="28">
        <v>55</v>
      </c>
      <c r="O46" s="28">
        <f t="shared" si="1"/>
        <v>110</v>
      </c>
      <c r="P46" s="28">
        <v>300</v>
      </c>
      <c r="Q46" s="28">
        <v>300</v>
      </c>
      <c r="R46" s="28">
        <v>300</v>
      </c>
      <c r="S46" s="28">
        <v>300</v>
      </c>
      <c r="T46" s="48">
        <f>(S46-P46)/P46</f>
        <v>0</v>
      </c>
    </row>
    <row r="47" spans="1:20" ht="12.75">
      <c r="A47" s="20" t="s">
        <v>152</v>
      </c>
      <c r="B47" s="45">
        <v>53.177</v>
      </c>
      <c r="C47" s="28"/>
      <c r="D47" s="28"/>
      <c r="E47" s="28">
        <v>245</v>
      </c>
      <c r="F47" s="28">
        <v>175</v>
      </c>
      <c r="G47" s="28"/>
      <c r="H47" s="28">
        <v>751</v>
      </c>
      <c r="I47" s="28">
        <v>85</v>
      </c>
      <c r="J47" s="28">
        <v>458</v>
      </c>
      <c r="K47" s="28">
        <v>828</v>
      </c>
      <c r="L47" s="28">
        <v>376</v>
      </c>
      <c r="M47" s="28">
        <v>747</v>
      </c>
      <c r="N47" s="28">
        <v>292</v>
      </c>
      <c r="O47" s="28">
        <f t="shared" si="1"/>
        <v>584</v>
      </c>
      <c r="P47" s="28">
        <v>500</v>
      </c>
      <c r="Q47" s="28">
        <v>600</v>
      </c>
      <c r="R47" s="28">
        <v>600</v>
      </c>
      <c r="S47" s="28">
        <v>600</v>
      </c>
      <c r="T47" s="48">
        <f>(S47-P47)/P47</f>
        <v>0.2</v>
      </c>
    </row>
    <row r="48" spans="1:20" ht="12.75">
      <c r="A48" s="20" t="s">
        <v>715</v>
      </c>
      <c r="B48" s="45">
        <v>53.178</v>
      </c>
      <c r="C48" s="28"/>
      <c r="D48" s="28"/>
      <c r="E48" s="28"/>
      <c r="F48" s="28"/>
      <c r="G48" s="28"/>
      <c r="H48" s="28"/>
      <c r="I48" s="28"/>
      <c r="J48" s="28"/>
      <c r="K48" s="28">
        <v>150</v>
      </c>
      <c r="L48" s="28">
        <v>241</v>
      </c>
      <c r="M48" s="28">
        <v>98</v>
      </c>
      <c r="N48" s="28"/>
      <c r="O48" s="28">
        <f t="shared" si="1"/>
        <v>0</v>
      </c>
      <c r="P48" s="28"/>
      <c r="Q48" s="28"/>
      <c r="R48" s="28"/>
      <c r="S48" s="28"/>
      <c r="T48" s="48"/>
    </row>
    <row r="49" spans="1:20" ht="12.75">
      <c r="A49" s="20" t="s">
        <v>153</v>
      </c>
      <c r="B49" s="45">
        <v>53.179</v>
      </c>
      <c r="C49" s="28">
        <v>5</v>
      </c>
      <c r="D49" s="28">
        <v>49</v>
      </c>
      <c r="E49" s="28">
        <v>516</v>
      </c>
      <c r="F49" s="28">
        <v>58</v>
      </c>
      <c r="G49" s="28">
        <v>1353</v>
      </c>
      <c r="H49" s="28">
        <v>3172</v>
      </c>
      <c r="I49" s="28">
        <v>3781</v>
      </c>
      <c r="J49" s="28">
        <v>5727</v>
      </c>
      <c r="K49" s="28">
        <v>5605</v>
      </c>
      <c r="L49" s="28">
        <v>9560</v>
      </c>
      <c r="M49" s="28">
        <v>6980</v>
      </c>
      <c r="N49" s="28">
        <v>4190</v>
      </c>
      <c r="O49" s="28">
        <f t="shared" si="1"/>
        <v>8380</v>
      </c>
      <c r="P49" s="28">
        <v>5000</v>
      </c>
      <c r="Q49" s="28">
        <v>8400</v>
      </c>
      <c r="R49" s="28">
        <v>8400</v>
      </c>
      <c r="S49" s="28">
        <v>8400</v>
      </c>
      <c r="T49" s="48">
        <f>(S49-P49)/P49</f>
        <v>0.68</v>
      </c>
    </row>
    <row r="50" spans="1:20" ht="12.75">
      <c r="A50" s="20" t="s">
        <v>215</v>
      </c>
      <c r="B50" s="45">
        <v>53.18</v>
      </c>
      <c r="C50" s="28"/>
      <c r="D50" s="28"/>
      <c r="E50" s="28"/>
      <c r="F50" s="28"/>
      <c r="G50" s="28"/>
      <c r="H50" s="28"/>
      <c r="I50" s="28"/>
      <c r="J50" s="28"/>
      <c r="K50" s="28"/>
      <c r="L50" s="28">
        <v>64</v>
      </c>
      <c r="M50" s="28">
        <v>38</v>
      </c>
      <c r="N50" s="28">
        <v>57</v>
      </c>
      <c r="O50" s="28">
        <f t="shared" si="1"/>
        <v>114</v>
      </c>
      <c r="P50" s="28"/>
      <c r="Q50" s="28"/>
      <c r="R50" s="28"/>
      <c r="S50" s="28"/>
      <c r="T50" s="48"/>
    </row>
    <row r="51" spans="15:20" ht="12.75">
      <c r="O51" s="28"/>
      <c r="T51" s="48"/>
    </row>
    <row r="52" spans="1:20" ht="12.75" hidden="1">
      <c r="A52" s="20" t="s">
        <v>335</v>
      </c>
      <c r="B52" s="45">
        <v>54.22</v>
      </c>
      <c r="F52" s="20">
        <v>5238</v>
      </c>
      <c r="I52" s="20">
        <v>15376</v>
      </c>
      <c r="O52" s="28"/>
      <c r="T52" s="48"/>
    </row>
    <row r="53" spans="1:21" ht="12.75">
      <c r="A53" s="20" t="s">
        <v>203</v>
      </c>
      <c r="B53" s="45">
        <v>54.24</v>
      </c>
      <c r="E53" s="28">
        <v>11308</v>
      </c>
      <c r="G53" s="20">
        <v>2341</v>
      </c>
      <c r="I53" s="20">
        <v>2687</v>
      </c>
      <c r="K53" s="20">
        <v>364</v>
      </c>
      <c r="O53" s="28"/>
      <c r="T53" s="48"/>
      <c r="U53" s="20" t="s">
        <v>463</v>
      </c>
    </row>
    <row r="54" spans="1:20" ht="12.75" hidden="1">
      <c r="A54" s="20" t="s">
        <v>398</v>
      </c>
      <c r="B54" s="45">
        <v>54.2402</v>
      </c>
      <c r="E54" s="28"/>
      <c r="G54" s="20">
        <v>19041</v>
      </c>
      <c r="I54" s="20">
        <v>1200</v>
      </c>
      <c r="J54" s="20">
        <v>1200</v>
      </c>
      <c r="O54" s="28"/>
      <c r="T54" s="48"/>
    </row>
    <row r="55" spans="1:20" ht="12.75">
      <c r="A55" s="20" t="s">
        <v>154</v>
      </c>
      <c r="B55" s="45">
        <v>54.25</v>
      </c>
      <c r="C55" s="28"/>
      <c r="D55" s="28"/>
      <c r="E55" s="28">
        <v>8587</v>
      </c>
      <c r="F55" s="28">
        <v>4841</v>
      </c>
      <c r="G55" s="28">
        <v>1203</v>
      </c>
      <c r="H55" s="28"/>
      <c r="I55" s="28">
        <v>2100</v>
      </c>
      <c r="J55" s="28"/>
      <c r="K55" s="28"/>
      <c r="L55" s="28">
        <v>737</v>
      </c>
      <c r="M55" s="28"/>
      <c r="N55" s="28"/>
      <c r="O55" s="28"/>
      <c r="P55" s="28"/>
      <c r="Q55" s="28"/>
      <c r="R55" s="28"/>
      <c r="S55" s="28"/>
      <c r="T55" s="48"/>
    </row>
    <row r="56" spans="1:20" ht="12.75" hidden="1">
      <c r="A56" s="20" t="s">
        <v>600</v>
      </c>
      <c r="B56" s="45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48"/>
    </row>
    <row r="57" spans="1:20" ht="12.75">
      <c r="A57" s="20" t="s">
        <v>832</v>
      </c>
      <c r="B57" s="45"/>
      <c r="C57" s="28"/>
      <c r="D57" s="28"/>
      <c r="E57" s="28"/>
      <c r="F57" s="28"/>
      <c r="G57" s="28"/>
      <c r="H57" s="28"/>
      <c r="I57" s="28"/>
      <c r="J57" s="28"/>
      <c r="K57" s="28"/>
      <c r="L57" s="28">
        <v>940</v>
      </c>
      <c r="M57" s="28"/>
      <c r="N57" s="28"/>
      <c r="O57" s="28"/>
      <c r="P57" s="28"/>
      <c r="Q57" s="28"/>
      <c r="R57" s="28"/>
      <c r="S57" s="28"/>
      <c r="T57" s="48"/>
    </row>
    <row r="58" spans="2:20" ht="12.75">
      <c r="B58" s="45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48"/>
    </row>
    <row r="59" spans="1:20" ht="12.75">
      <c r="A59" s="42" t="s">
        <v>155</v>
      </c>
      <c r="B59" s="45">
        <v>57.9</v>
      </c>
      <c r="C59" s="28"/>
      <c r="D59" s="28"/>
      <c r="E59" s="28"/>
      <c r="F59" s="28"/>
      <c r="G59" s="28"/>
      <c r="H59" s="28"/>
      <c r="I59" s="28"/>
      <c r="J59" s="28"/>
      <c r="K59" s="28">
        <v>32208</v>
      </c>
      <c r="L59" s="28">
        <f>10043+120</f>
        <v>10163</v>
      </c>
      <c r="M59" s="28">
        <v>9041</v>
      </c>
      <c r="N59" s="28">
        <v>29766</v>
      </c>
      <c r="O59" s="28">
        <v>100000</v>
      </c>
      <c r="P59" s="28">
        <v>125000</v>
      </c>
      <c r="Q59" s="28">
        <v>50000</v>
      </c>
      <c r="R59" s="28">
        <v>50000</v>
      </c>
      <c r="S59" s="28">
        <v>50000</v>
      </c>
      <c r="T59" s="48">
        <f>(S59-P59)/P59</f>
        <v>-0.6</v>
      </c>
    </row>
    <row r="60" spans="1:21" ht="12.75">
      <c r="A60" s="20" t="s">
        <v>552</v>
      </c>
      <c r="B60" s="45"/>
      <c r="C60" s="28"/>
      <c r="D60" s="28"/>
      <c r="E60" s="28"/>
      <c r="F60" s="28"/>
      <c r="G60" s="28"/>
      <c r="H60" s="28">
        <v>2500</v>
      </c>
      <c r="I60" s="28"/>
      <c r="J60" s="28">
        <v>1118</v>
      </c>
      <c r="K60" s="28"/>
      <c r="L60" s="28"/>
      <c r="M60" s="28"/>
      <c r="N60" s="28"/>
      <c r="O60" s="28">
        <f>(12/$N$3)*N60</f>
        <v>0</v>
      </c>
      <c r="P60" s="28"/>
      <c r="Q60" s="28"/>
      <c r="R60" s="28"/>
      <c r="S60" s="28"/>
      <c r="T60" s="48"/>
      <c r="U60" s="42"/>
    </row>
    <row r="61" spans="1:20" ht="12.75">
      <c r="A61" s="20" t="s">
        <v>298</v>
      </c>
      <c r="B61" s="45"/>
      <c r="C61" s="50"/>
      <c r="D61" s="22">
        <v>5363</v>
      </c>
      <c r="F61" s="50"/>
      <c r="G61" s="50"/>
      <c r="H61" s="50"/>
      <c r="I61" s="50"/>
      <c r="J61" s="50"/>
      <c r="K61" s="50"/>
      <c r="L61" s="50"/>
      <c r="M61" s="50"/>
      <c r="N61" s="50"/>
      <c r="O61" s="28">
        <f>(12/$N$3)*N61</f>
        <v>0</v>
      </c>
      <c r="P61" s="50"/>
      <c r="Q61" s="50"/>
      <c r="R61" s="50"/>
      <c r="S61" s="50"/>
      <c r="T61" s="48"/>
    </row>
    <row r="62" spans="1:20" ht="12.75">
      <c r="A62" s="42" t="s">
        <v>91</v>
      </c>
      <c r="B62" s="42"/>
      <c r="C62" s="43">
        <v>49231</v>
      </c>
      <c r="D62" s="43">
        <v>69751</v>
      </c>
      <c r="E62" s="43">
        <v>96592</v>
      </c>
      <c r="F62" s="43">
        <v>137104</v>
      </c>
      <c r="G62" s="43">
        <v>155005</v>
      </c>
      <c r="H62" s="43">
        <v>101483</v>
      </c>
      <c r="I62" s="43">
        <v>247308</v>
      </c>
      <c r="J62" s="43">
        <v>121413</v>
      </c>
      <c r="K62" s="43">
        <f>SUM(K7:K61)</f>
        <v>155968.96</v>
      </c>
      <c r="L62" s="43">
        <v>110401</v>
      </c>
      <c r="M62" s="43">
        <v>81861</v>
      </c>
      <c r="N62" s="43">
        <f aca="true" t="shared" si="2" ref="N62:S62">SUM(N7:N61)</f>
        <v>72344</v>
      </c>
      <c r="O62" s="43">
        <f t="shared" si="2"/>
        <v>182563.617</v>
      </c>
      <c r="P62" s="43">
        <f t="shared" si="2"/>
        <v>214143.7405</v>
      </c>
      <c r="Q62" s="43">
        <f t="shared" si="2"/>
        <v>139544.225</v>
      </c>
      <c r="R62" s="43">
        <f t="shared" si="2"/>
        <v>134513.7405</v>
      </c>
      <c r="S62" s="43">
        <f t="shared" si="2"/>
        <v>134513.7405</v>
      </c>
      <c r="T62" s="49">
        <f>(S62-P62)/P62</f>
        <v>-0.37185303578836104</v>
      </c>
    </row>
    <row r="63" spans="1:20" ht="12.75">
      <c r="A63" s="42"/>
      <c r="B63" s="42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39"/>
    </row>
    <row r="64" spans="16:18" ht="12.75">
      <c r="P64" s="20" t="s">
        <v>445</v>
      </c>
      <c r="R64" s="52">
        <f>Q62-R62</f>
        <v>5030.484499999991</v>
      </c>
    </row>
    <row r="65" spans="1:18" ht="12.75">
      <c r="A65" s="23"/>
      <c r="E65" s="20">
        <v>74000</v>
      </c>
      <c r="P65" s="20" t="s">
        <v>668</v>
      </c>
      <c r="R65" s="52">
        <f>P62-R62</f>
        <v>79630</v>
      </c>
    </row>
    <row r="66" spans="1:18" ht="12.75">
      <c r="A66" s="23"/>
      <c r="E66" s="20">
        <v>50000</v>
      </c>
      <c r="P66" s="20" t="s">
        <v>397</v>
      </c>
      <c r="R66" s="52">
        <f>R62-S62</f>
        <v>0</v>
      </c>
    </row>
    <row r="68" ht="12.75">
      <c r="A68" s="20" t="s">
        <v>905</v>
      </c>
    </row>
    <row r="69" ht="12.75">
      <c r="A69" s="20" t="s">
        <v>690</v>
      </c>
    </row>
    <row r="70" ht="12.75">
      <c r="A70" s="20" t="s">
        <v>847</v>
      </c>
    </row>
    <row r="71" ht="12.75">
      <c r="A71" s="20" t="s">
        <v>848</v>
      </c>
    </row>
    <row r="72" ht="12.75">
      <c r="A72" s="20" t="s">
        <v>973</v>
      </c>
    </row>
    <row r="73" ht="12.75">
      <c r="A73" s="20" t="s">
        <v>975</v>
      </c>
    </row>
    <row r="99" spans="3:20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3:20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3:20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3:20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3:20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3:20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</sheetData>
  <printOptions gridLines="1"/>
  <pageMargins left="0.25" right="0.25" top="1" bottom="0.55" header="0.5" footer="0.25"/>
  <pageSetup fitToHeight="1" fitToWidth="1" horizontalDpi="300" verticalDpi="300" orientation="landscape" scale="71" r:id="rId3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U9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9.421875" style="0" customWidth="1"/>
    <col min="3" max="3" width="0.13671875" style="0" hidden="1" customWidth="1"/>
    <col min="4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9" width="10.8515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440</v>
      </c>
      <c r="N3" s="53">
        <v>11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/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604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49830.41</v>
      </c>
      <c r="M7" s="2">
        <v>48159</v>
      </c>
      <c r="N7" s="2">
        <v>42906</v>
      </c>
      <c r="O7" s="2">
        <f aca="true" t="shared" si="0" ref="O7:O42">+N7/$N$3*12</f>
        <v>46806.545454545456</v>
      </c>
      <c r="P7" s="2">
        <v>47532</v>
      </c>
      <c r="Q7" s="2">
        <f>R7+1723</f>
        <v>48795</v>
      </c>
      <c r="R7" s="2">
        <v>47072</v>
      </c>
      <c r="S7" s="2">
        <v>48795</v>
      </c>
      <c r="T7" s="75">
        <f>(S7-P7)/P7</f>
        <v>0.02657157283514264</v>
      </c>
      <c r="U7" s="2" t="s">
        <v>464</v>
      </c>
    </row>
    <row r="8" spans="1:20" ht="12.75">
      <c r="A8" t="s">
        <v>113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4176.63</v>
      </c>
      <c r="M8" s="2">
        <v>4157</v>
      </c>
      <c r="N8" s="2">
        <v>3837</v>
      </c>
      <c r="O8" s="2">
        <f t="shared" si="0"/>
        <v>4185.818181818182</v>
      </c>
      <c r="P8" s="2">
        <v>3598</v>
      </c>
      <c r="Q8" s="2">
        <f>Q7*0.0765</f>
        <v>3732.8175</v>
      </c>
      <c r="R8" s="2">
        <f>R7*0.0765</f>
        <v>3601.008</v>
      </c>
      <c r="S8" s="2">
        <f>S7*0.0765</f>
        <v>3732.8175</v>
      </c>
      <c r="T8" s="75">
        <f>(S8-P8)/P8</f>
        <v>0.03747012229016123</v>
      </c>
    </row>
    <row r="9" spans="1:20" ht="12.75">
      <c r="A9" t="s">
        <v>278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2727</v>
      </c>
      <c r="M9" s="2">
        <v>1892</v>
      </c>
      <c r="N9" s="2">
        <v>1988</v>
      </c>
      <c r="O9" s="2">
        <f t="shared" si="0"/>
        <v>2168.7272727272725</v>
      </c>
      <c r="P9" s="2">
        <v>2046</v>
      </c>
      <c r="Q9" s="2">
        <v>2350</v>
      </c>
      <c r="R9" s="2">
        <v>2046</v>
      </c>
      <c r="S9" s="2">
        <v>2046</v>
      </c>
      <c r="T9" s="75">
        <f>(S9-P9)/P9</f>
        <v>0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5"/>
    </row>
    <row r="11" spans="1:21" ht="12.75">
      <c r="A11" t="s">
        <v>56</v>
      </c>
      <c r="B11" s="4">
        <v>52.1316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753</v>
      </c>
      <c r="O11" s="2">
        <f t="shared" si="0"/>
        <v>821.4545454545455</v>
      </c>
      <c r="P11" s="2">
        <v>400</v>
      </c>
      <c r="Q11" s="2">
        <v>656</v>
      </c>
      <c r="R11" s="2">
        <v>656</v>
      </c>
      <c r="S11" s="2">
        <v>656</v>
      </c>
      <c r="T11" s="75"/>
      <c r="U11" t="s">
        <v>14</v>
      </c>
    </row>
    <row r="12" spans="1:21" ht="12.75">
      <c r="A12" t="s">
        <v>170</v>
      </c>
      <c r="B12" s="4">
        <v>52.211</v>
      </c>
      <c r="C12" s="2"/>
      <c r="D12" s="2"/>
      <c r="E12" s="2">
        <v>300</v>
      </c>
      <c r="F12" s="2">
        <v>135</v>
      </c>
      <c r="G12" s="2">
        <v>535</v>
      </c>
      <c r="H12" s="2">
        <v>449</v>
      </c>
      <c r="I12" s="2">
        <v>397</v>
      </c>
      <c r="J12" s="2">
        <v>380</v>
      </c>
      <c r="K12" s="2">
        <v>521</v>
      </c>
      <c r="L12" s="2"/>
      <c r="M12" s="2">
        <v>342</v>
      </c>
      <c r="N12" s="11">
        <v>171</v>
      </c>
      <c r="O12" s="2">
        <f t="shared" si="0"/>
        <v>186.54545454545453</v>
      </c>
      <c r="P12" s="2">
        <v>400</v>
      </c>
      <c r="Q12" s="2">
        <v>400</v>
      </c>
      <c r="R12" s="2">
        <v>400</v>
      </c>
      <c r="S12" s="2">
        <v>400</v>
      </c>
      <c r="T12" s="75">
        <f>(S12-P12)/P12</f>
        <v>0</v>
      </c>
      <c r="U12" s="15"/>
    </row>
    <row r="13" spans="1:20" ht="12.75">
      <c r="A13" t="s">
        <v>136</v>
      </c>
      <c r="B13" s="4">
        <v>52.2204</v>
      </c>
      <c r="C13" s="2">
        <v>612</v>
      </c>
      <c r="D13" s="2">
        <v>781</v>
      </c>
      <c r="E13" s="2">
        <v>611</v>
      </c>
      <c r="F13" s="2">
        <v>450</v>
      </c>
      <c r="G13" s="2">
        <v>468</v>
      </c>
      <c r="H13" s="2">
        <v>486</v>
      </c>
      <c r="I13" s="2">
        <v>672</v>
      </c>
      <c r="J13" s="2">
        <v>944</v>
      </c>
      <c r="K13" s="2">
        <v>342</v>
      </c>
      <c r="L13" s="2">
        <v>471</v>
      </c>
      <c r="M13" s="2">
        <v>494</v>
      </c>
      <c r="N13" s="11">
        <v>0</v>
      </c>
      <c r="O13" s="2">
        <f t="shared" si="0"/>
        <v>0</v>
      </c>
      <c r="P13" s="2"/>
      <c r="Q13" s="2"/>
      <c r="R13" s="2"/>
      <c r="S13" s="2"/>
      <c r="T13" s="75"/>
    </row>
    <row r="14" spans="1:20" ht="12.75" hidden="1">
      <c r="A14" t="s">
        <v>173</v>
      </c>
      <c r="B14" s="4">
        <v>52.2205</v>
      </c>
      <c r="C14" s="2"/>
      <c r="D14" s="2"/>
      <c r="E14" s="2">
        <v>75</v>
      </c>
      <c r="F14" s="2"/>
      <c r="G14" s="2"/>
      <c r="H14" s="2"/>
      <c r="I14" s="2"/>
      <c r="J14" s="2"/>
      <c r="K14" s="2"/>
      <c r="L14" s="2"/>
      <c r="M14" s="2"/>
      <c r="O14" s="2">
        <f t="shared" si="0"/>
        <v>0</v>
      </c>
      <c r="P14" s="2"/>
      <c r="Q14" s="2"/>
      <c r="R14" s="2"/>
      <c r="S14" s="2"/>
      <c r="T14" s="75"/>
    </row>
    <row r="15" spans="1:20" ht="12.75" hidden="1">
      <c r="A15" t="s">
        <v>234</v>
      </c>
      <c r="B15" s="4">
        <v>52.2206</v>
      </c>
      <c r="C15" s="2"/>
      <c r="D15" s="2"/>
      <c r="E15" s="2">
        <v>25</v>
      </c>
      <c r="F15" s="2"/>
      <c r="G15" s="2">
        <v>225</v>
      </c>
      <c r="H15" s="2"/>
      <c r="I15" s="2"/>
      <c r="J15" s="2"/>
      <c r="K15" s="2">
        <v>80</v>
      </c>
      <c r="L15" s="2">
        <v>464</v>
      </c>
      <c r="M15" s="2"/>
      <c r="O15" s="2">
        <f t="shared" si="0"/>
        <v>0</v>
      </c>
      <c r="P15" s="2"/>
      <c r="Q15" s="2"/>
      <c r="R15" s="2"/>
      <c r="S15" s="2"/>
      <c r="T15" s="75"/>
    </row>
    <row r="16" spans="1:20" ht="12.75">
      <c r="A16" t="s">
        <v>234</v>
      </c>
      <c r="B16" s="4">
        <v>52.2206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>
        <v>335</v>
      </c>
      <c r="O16" s="2">
        <v>335</v>
      </c>
      <c r="P16" s="2"/>
      <c r="Q16" s="2"/>
      <c r="R16" s="2"/>
      <c r="S16" s="2"/>
      <c r="T16" s="75"/>
    </row>
    <row r="17" spans="1:20" ht="12.75">
      <c r="A17" t="s">
        <v>115</v>
      </c>
      <c r="B17" s="4">
        <v>52.32</v>
      </c>
      <c r="C17" s="2">
        <v>3720</v>
      </c>
      <c r="D17" s="2">
        <v>3618</v>
      </c>
      <c r="E17" s="2">
        <v>3841</v>
      </c>
      <c r="F17" s="2">
        <v>3512</v>
      </c>
      <c r="G17" s="2">
        <v>3446</v>
      </c>
      <c r="H17" s="2">
        <v>3697</v>
      </c>
      <c r="I17" s="2">
        <v>4072</v>
      </c>
      <c r="J17" s="2">
        <v>4256</v>
      </c>
      <c r="K17" s="2">
        <v>3475</v>
      </c>
      <c r="L17" s="2">
        <v>3663</v>
      </c>
      <c r="M17" s="2">
        <v>3705</v>
      </c>
      <c r="N17" s="11">
        <v>3450</v>
      </c>
      <c r="O17" s="2">
        <f t="shared" si="0"/>
        <v>3763.6363636363635</v>
      </c>
      <c r="P17" s="2">
        <v>3500</v>
      </c>
      <c r="Q17" s="2">
        <v>3700</v>
      </c>
      <c r="R17" s="2">
        <v>3700</v>
      </c>
      <c r="S17" s="2">
        <v>3700</v>
      </c>
      <c r="T17" s="75">
        <f>(S17-P17)/P17</f>
        <v>0.05714285714285714</v>
      </c>
    </row>
    <row r="18" spans="1:20" ht="12.75">
      <c r="A18" t="s">
        <v>116</v>
      </c>
      <c r="B18" s="4">
        <v>52.321</v>
      </c>
      <c r="C18" s="2">
        <v>210</v>
      </c>
      <c r="D18" s="2">
        <v>244</v>
      </c>
      <c r="E18" s="2">
        <v>47</v>
      </c>
      <c r="F18" s="2">
        <v>241</v>
      </c>
      <c r="G18" s="2">
        <v>296</v>
      </c>
      <c r="H18" s="2">
        <v>259</v>
      </c>
      <c r="I18" s="2">
        <v>222</v>
      </c>
      <c r="J18" s="2">
        <v>300</v>
      </c>
      <c r="K18" s="2">
        <v>173</v>
      </c>
      <c r="L18" s="2">
        <v>251</v>
      </c>
      <c r="M18" s="2">
        <v>30</v>
      </c>
      <c r="N18" s="11">
        <v>0</v>
      </c>
      <c r="O18" s="2">
        <f t="shared" si="0"/>
        <v>0</v>
      </c>
      <c r="P18" s="2">
        <v>30</v>
      </c>
      <c r="Q18" s="2">
        <v>30</v>
      </c>
      <c r="R18" s="2">
        <v>30</v>
      </c>
      <c r="S18" s="2">
        <v>30</v>
      </c>
      <c r="T18" s="75">
        <f>(S18-P18)/P18</f>
        <v>0</v>
      </c>
    </row>
    <row r="19" spans="1:20" ht="12.75">
      <c r="A19" t="s">
        <v>128</v>
      </c>
      <c r="B19" s="4">
        <v>52.35</v>
      </c>
      <c r="C19" s="2">
        <v>2596</v>
      </c>
      <c r="D19" s="2">
        <v>1770</v>
      </c>
      <c r="E19" s="2">
        <v>2587</v>
      </c>
      <c r="F19" s="2">
        <v>1909</v>
      </c>
      <c r="G19" s="2">
        <v>1983</v>
      </c>
      <c r="H19" s="2">
        <v>1260</v>
      </c>
      <c r="I19" s="2">
        <v>951</v>
      </c>
      <c r="J19" s="2">
        <v>739</v>
      </c>
      <c r="K19" s="2">
        <v>641</v>
      </c>
      <c r="L19" s="2">
        <v>567</v>
      </c>
      <c r="M19" s="2">
        <v>470</v>
      </c>
      <c r="N19" s="11">
        <v>348</v>
      </c>
      <c r="O19" s="2">
        <f t="shared" si="0"/>
        <v>379.6363636363636</v>
      </c>
      <c r="P19" s="2">
        <v>479</v>
      </c>
      <c r="Q19" s="2">
        <v>321</v>
      </c>
      <c r="R19" s="2">
        <v>321</v>
      </c>
      <c r="S19" s="2">
        <v>321</v>
      </c>
      <c r="T19" s="75">
        <f>(S19-P19)/P19</f>
        <v>-0.3298538622129436</v>
      </c>
    </row>
    <row r="20" spans="1:20" ht="12.75" hidden="1">
      <c r="A20" t="s">
        <v>118</v>
      </c>
      <c r="B20" s="4">
        <v>52.3602</v>
      </c>
      <c r="C20" s="2"/>
      <c r="D20" s="2">
        <v>200</v>
      </c>
      <c r="E20" s="2">
        <v>420</v>
      </c>
      <c r="F20" s="2">
        <v>350</v>
      </c>
      <c r="G20" s="2">
        <v>355</v>
      </c>
      <c r="H20" s="2"/>
      <c r="I20" s="2"/>
      <c r="J20" s="2"/>
      <c r="K20" s="2"/>
      <c r="L20" s="2"/>
      <c r="M20" s="2"/>
      <c r="O20" s="2"/>
      <c r="P20" s="2"/>
      <c r="Q20" s="2"/>
      <c r="R20" s="2"/>
      <c r="S20" s="2"/>
      <c r="T20" s="75"/>
    </row>
    <row r="21" spans="1:20" ht="12.75">
      <c r="A21" t="s">
        <v>129</v>
      </c>
      <c r="B21" s="4">
        <v>52.37</v>
      </c>
      <c r="C21" s="2"/>
      <c r="D21" s="2"/>
      <c r="E21" s="2">
        <v>650</v>
      </c>
      <c r="F21" s="2">
        <v>375</v>
      </c>
      <c r="G21" s="2">
        <v>862</v>
      </c>
      <c r="H21" s="2">
        <v>905</v>
      </c>
      <c r="I21" s="2"/>
      <c r="J21" s="2">
        <v>30</v>
      </c>
      <c r="K21" s="2">
        <v>1160</v>
      </c>
      <c r="L21" s="2">
        <v>795</v>
      </c>
      <c r="M21" s="2">
        <v>150</v>
      </c>
      <c r="N21" s="11">
        <v>105</v>
      </c>
      <c r="O21" s="2">
        <f t="shared" si="0"/>
        <v>114.54545454545453</v>
      </c>
      <c r="P21" s="2">
        <v>150</v>
      </c>
      <c r="Q21" s="2">
        <v>150</v>
      </c>
      <c r="R21" s="2">
        <v>150</v>
      </c>
      <c r="S21" s="2">
        <v>150</v>
      </c>
      <c r="T21" s="75"/>
    </row>
    <row r="22" spans="2:20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5"/>
    </row>
    <row r="23" spans="1:21" ht="12.75">
      <c r="A23" t="s">
        <v>122</v>
      </c>
      <c r="B23" s="4">
        <v>53.12</v>
      </c>
      <c r="C23" s="2">
        <v>7013</v>
      </c>
      <c r="D23" s="2">
        <v>6976</v>
      </c>
      <c r="E23" s="2">
        <v>142</v>
      </c>
      <c r="F23" s="2">
        <v>6704</v>
      </c>
      <c r="G23" s="2">
        <v>8790</v>
      </c>
      <c r="H23" s="2">
        <v>8778</v>
      </c>
      <c r="I23" s="2">
        <v>7996</v>
      </c>
      <c r="J23" s="2">
        <v>6842</v>
      </c>
      <c r="K23" s="2">
        <v>6607</v>
      </c>
      <c r="L23" s="2">
        <v>8056</v>
      </c>
      <c r="M23" s="2">
        <v>7145</v>
      </c>
      <c r="N23" s="2">
        <v>5965</v>
      </c>
      <c r="O23" s="2">
        <f t="shared" si="0"/>
        <v>6507.272727272727</v>
      </c>
      <c r="P23" s="2">
        <v>7400</v>
      </c>
      <c r="Q23" s="2">
        <v>8100</v>
      </c>
      <c r="R23" s="2">
        <v>7400</v>
      </c>
      <c r="S23" s="2">
        <v>7400</v>
      </c>
      <c r="T23" s="75">
        <f>(S23-P23)/P23</f>
        <v>0</v>
      </c>
      <c r="U23" t="s">
        <v>333</v>
      </c>
    </row>
    <row r="24" spans="1:20" ht="12.75" hidden="1">
      <c r="A24" t="s">
        <v>344</v>
      </c>
      <c r="B24" s="4">
        <v>53.121</v>
      </c>
      <c r="C24" s="2"/>
      <c r="D24" s="2"/>
      <c r="E24" s="2">
        <v>544</v>
      </c>
      <c r="F24" s="2"/>
      <c r="G24" s="2"/>
      <c r="H24" s="2"/>
      <c r="I24" s="2"/>
      <c r="J24" s="2"/>
      <c r="K24" s="2"/>
      <c r="L24" s="2"/>
      <c r="M24" s="2"/>
      <c r="O24" s="2">
        <f t="shared" si="0"/>
        <v>0</v>
      </c>
      <c r="P24" s="2"/>
      <c r="Q24" s="2"/>
      <c r="R24" s="2"/>
      <c r="S24" s="2"/>
      <c r="T24" s="75"/>
    </row>
    <row r="25" spans="1:20" ht="12.75" hidden="1">
      <c r="A25" t="s">
        <v>345</v>
      </c>
      <c r="B25" s="4">
        <v>53.122</v>
      </c>
      <c r="C25" s="2"/>
      <c r="D25" s="2"/>
      <c r="E25" s="2">
        <v>1666</v>
      </c>
      <c r="F25" s="2"/>
      <c r="G25" s="2"/>
      <c r="H25" s="2"/>
      <c r="I25" s="2"/>
      <c r="J25" s="2"/>
      <c r="K25" s="2"/>
      <c r="L25" s="2"/>
      <c r="M25" s="2"/>
      <c r="O25" s="2">
        <f t="shared" si="0"/>
        <v>0</v>
      </c>
      <c r="P25" s="2"/>
      <c r="Q25" s="2"/>
      <c r="R25" s="2"/>
      <c r="S25" s="2"/>
      <c r="T25" s="75"/>
    </row>
    <row r="26" spans="1:20" ht="12.75" hidden="1">
      <c r="A26" t="s">
        <v>331</v>
      </c>
      <c r="B26" s="4">
        <v>53.123</v>
      </c>
      <c r="C26" s="2"/>
      <c r="D26" s="2"/>
      <c r="E26" s="2">
        <v>5115</v>
      </c>
      <c r="F26" s="2"/>
      <c r="G26" s="2"/>
      <c r="H26" s="2"/>
      <c r="I26" s="2"/>
      <c r="J26" s="2"/>
      <c r="K26" s="2"/>
      <c r="L26" s="2"/>
      <c r="M26" s="2"/>
      <c r="O26" s="2">
        <f t="shared" si="0"/>
        <v>0</v>
      </c>
      <c r="P26" s="2"/>
      <c r="Q26" s="2"/>
      <c r="R26" s="2"/>
      <c r="S26" s="2"/>
      <c r="T26" s="75"/>
    </row>
    <row r="27" spans="1:20" ht="12.75">
      <c r="A27" t="s">
        <v>174</v>
      </c>
      <c r="B27" s="4">
        <v>53.1702</v>
      </c>
      <c r="C27" s="2">
        <v>135</v>
      </c>
      <c r="D27" s="2">
        <v>76</v>
      </c>
      <c r="E27" s="2">
        <v>3</v>
      </c>
      <c r="F27" s="2"/>
      <c r="G27" s="2">
        <v>26</v>
      </c>
      <c r="H27" s="2">
        <v>153</v>
      </c>
      <c r="I27" s="2">
        <v>89</v>
      </c>
      <c r="J27" s="2">
        <v>78</v>
      </c>
      <c r="K27" s="2">
        <v>103</v>
      </c>
      <c r="L27" s="2">
        <v>82</v>
      </c>
      <c r="M27" s="2">
        <v>122</v>
      </c>
      <c r="N27" s="2">
        <v>105</v>
      </c>
      <c r="O27" s="2">
        <f t="shared" si="0"/>
        <v>114.54545454545453</v>
      </c>
      <c r="P27" s="2">
        <v>100</v>
      </c>
      <c r="Q27" s="2">
        <v>367</v>
      </c>
      <c r="R27" s="2">
        <v>200</v>
      </c>
      <c r="S27" s="2">
        <v>200</v>
      </c>
      <c r="T27" s="75">
        <f>(S27-P27)/P27</f>
        <v>1</v>
      </c>
    </row>
    <row r="28" spans="1:20" ht="12.75">
      <c r="A28" t="s">
        <v>123</v>
      </c>
      <c r="B28" s="4">
        <v>53.171</v>
      </c>
      <c r="C28" s="2">
        <v>1384</v>
      </c>
      <c r="D28" s="2">
        <v>1110</v>
      </c>
      <c r="E28" s="2">
        <v>1426</v>
      </c>
      <c r="F28" s="2">
        <v>1292</v>
      </c>
      <c r="G28" s="2">
        <v>1336</v>
      </c>
      <c r="H28" s="2">
        <v>864</v>
      </c>
      <c r="I28" s="2">
        <v>887</v>
      </c>
      <c r="J28" s="2">
        <v>1170</v>
      </c>
      <c r="K28" s="2">
        <v>1560</v>
      </c>
      <c r="L28" s="2">
        <v>1471</v>
      </c>
      <c r="M28" s="2">
        <v>896</v>
      </c>
      <c r="N28" s="2">
        <v>501</v>
      </c>
      <c r="O28" s="2">
        <f t="shared" si="0"/>
        <v>546.5454545454545</v>
      </c>
      <c r="P28" s="2">
        <v>490</v>
      </c>
      <c r="Q28" s="2">
        <v>610</v>
      </c>
      <c r="R28" s="2">
        <v>610</v>
      </c>
      <c r="S28" s="2">
        <v>610</v>
      </c>
      <c r="T28" s="75">
        <f>(S28-P28)/P28</f>
        <v>0.24489795918367346</v>
      </c>
    </row>
    <row r="29" spans="1:20" ht="12.75">
      <c r="A29" t="s">
        <v>230</v>
      </c>
      <c r="B29" s="4">
        <v>53.172</v>
      </c>
      <c r="C29" s="2">
        <v>2504</v>
      </c>
      <c r="D29" s="2">
        <v>2703</v>
      </c>
      <c r="E29" s="2">
        <v>671</v>
      </c>
      <c r="F29" s="2">
        <v>969</v>
      </c>
      <c r="G29" s="2">
        <v>647</v>
      </c>
      <c r="H29" s="2">
        <v>384</v>
      </c>
      <c r="I29" s="2">
        <v>419</v>
      </c>
      <c r="J29" s="2">
        <v>538</v>
      </c>
      <c r="K29" s="2">
        <v>543</v>
      </c>
      <c r="L29" s="2">
        <f>208+199</f>
        <v>407</v>
      </c>
      <c r="M29" s="2">
        <v>143</v>
      </c>
      <c r="N29" s="2">
        <v>197</v>
      </c>
      <c r="O29" s="2">
        <f t="shared" si="0"/>
        <v>214.90909090909093</v>
      </c>
      <c r="P29" s="2">
        <v>208</v>
      </c>
      <c r="Q29" s="2">
        <v>242</v>
      </c>
      <c r="R29" s="2">
        <v>242</v>
      </c>
      <c r="S29" s="2">
        <v>242</v>
      </c>
      <c r="T29" s="75">
        <f>(S29-P29)/P29</f>
        <v>0.16346153846153846</v>
      </c>
    </row>
    <row r="30" spans="1:20" ht="12.75">
      <c r="A30" t="s">
        <v>162</v>
      </c>
      <c r="B30" s="4">
        <v>53.175</v>
      </c>
      <c r="C30" s="2">
        <v>6</v>
      </c>
      <c r="D30" s="2">
        <v>38</v>
      </c>
      <c r="E30" s="2">
        <v>51</v>
      </c>
      <c r="F30" s="2">
        <v>15</v>
      </c>
      <c r="G30" s="2">
        <v>576</v>
      </c>
      <c r="H30" s="2">
        <v>93</v>
      </c>
      <c r="I30" s="2">
        <v>73</v>
      </c>
      <c r="J30" s="2">
        <v>23</v>
      </c>
      <c r="K30" s="2">
        <v>1083</v>
      </c>
      <c r="L30" s="2">
        <v>414</v>
      </c>
      <c r="M30" s="2">
        <v>369</v>
      </c>
      <c r="N30" s="2">
        <v>1047</v>
      </c>
      <c r="O30" s="2">
        <f t="shared" si="0"/>
        <v>1142.1818181818182</v>
      </c>
      <c r="P30" s="2">
        <v>100</v>
      </c>
      <c r="Q30" s="2">
        <v>600</v>
      </c>
      <c r="R30" s="2">
        <v>400</v>
      </c>
      <c r="S30" s="2">
        <v>400</v>
      </c>
      <c r="T30" s="75">
        <f>(S30-P30)/P30</f>
        <v>3</v>
      </c>
    </row>
    <row r="31" spans="1:20" ht="12.75">
      <c r="A31" t="s">
        <v>151</v>
      </c>
      <c r="B31" s="4">
        <v>53.176</v>
      </c>
      <c r="C31" s="2">
        <v>12</v>
      </c>
      <c r="D31" s="2">
        <v>14</v>
      </c>
      <c r="E31" s="2">
        <v>31</v>
      </c>
      <c r="F31" s="2">
        <v>21</v>
      </c>
      <c r="G31" s="2">
        <v>44</v>
      </c>
      <c r="H31" s="2">
        <v>22</v>
      </c>
      <c r="I31" s="2">
        <v>32</v>
      </c>
      <c r="J31" s="2">
        <v>24</v>
      </c>
      <c r="K31" s="2">
        <v>53</v>
      </c>
      <c r="L31" s="2">
        <v>53</v>
      </c>
      <c r="M31" s="2">
        <v>125</v>
      </c>
      <c r="N31" s="2">
        <v>44</v>
      </c>
      <c r="O31" s="2">
        <f t="shared" si="0"/>
        <v>48</v>
      </c>
      <c r="P31" s="2">
        <v>50</v>
      </c>
      <c r="Q31" s="2">
        <v>75</v>
      </c>
      <c r="R31" s="2">
        <v>75</v>
      </c>
      <c r="S31" s="2">
        <v>75</v>
      </c>
      <c r="T31" s="75">
        <f>(S31-P31)/P31</f>
        <v>0.5</v>
      </c>
    </row>
    <row r="32" spans="1:20" ht="12.75">
      <c r="A32" t="s">
        <v>837</v>
      </c>
      <c r="B32" s="4">
        <v>53.1737</v>
      </c>
      <c r="C32" s="2"/>
      <c r="D32" s="2"/>
      <c r="E32" s="2"/>
      <c r="F32" s="2"/>
      <c r="G32" s="2">
        <v>344</v>
      </c>
      <c r="H32" s="2"/>
      <c r="I32" s="2">
        <v>162</v>
      </c>
      <c r="J32" s="2"/>
      <c r="K32" s="2">
        <v>722</v>
      </c>
      <c r="L32" s="2">
        <v>418</v>
      </c>
      <c r="M32" s="2"/>
      <c r="N32" s="2">
        <v>107</v>
      </c>
      <c r="O32" s="2">
        <f t="shared" si="0"/>
        <v>116.72727272727272</v>
      </c>
      <c r="P32" s="2">
        <v>150</v>
      </c>
      <c r="Q32" s="2">
        <v>150</v>
      </c>
      <c r="R32" s="2"/>
      <c r="S32" s="2"/>
      <c r="T32" s="75"/>
    </row>
    <row r="33" spans="1:20" ht="12.75">
      <c r="A33" t="s">
        <v>152</v>
      </c>
      <c r="B33" s="4">
        <v>53.177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335</v>
      </c>
      <c r="N33" s="2">
        <v>278</v>
      </c>
      <c r="O33" s="2">
        <f t="shared" si="0"/>
        <v>303.27272727272725</v>
      </c>
      <c r="P33" s="2"/>
      <c r="Q33" s="2">
        <v>400</v>
      </c>
      <c r="R33" s="2">
        <v>400</v>
      </c>
      <c r="S33" s="2">
        <v>400</v>
      </c>
      <c r="T33" s="75"/>
    </row>
    <row r="34" spans="1:20" ht="12.75">
      <c r="A34" t="s">
        <v>153</v>
      </c>
      <c r="B34" s="4">
        <v>53.179</v>
      </c>
      <c r="C34" s="2">
        <v>324</v>
      </c>
      <c r="D34" s="2">
        <v>655</v>
      </c>
      <c r="E34" s="2">
        <v>813</v>
      </c>
      <c r="F34" s="2">
        <v>507</v>
      </c>
      <c r="G34" s="2">
        <v>672</v>
      </c>
      <c r="H34" s="2">
        <v>617</v>
      </c>
      <c r="I34" s="2">
        <v>1004</v>
      </c>
      <c r="J34" s="2">
        <v>1233</v>
      </c>
      <c r="K34" s="2">
        <v>1808</v>
      </c>
      <c r="L34" s="2">
        <v>1903</v>
      </c>
      <c r="M34" s="2">
        <v>1175</v>
      </c>
      <c r="N34" s="2">
        <v>1416</v>
      </c>
      <c r="O34" s="2">
        <f t="shared" si="0"/>
        <v>1544.7272727272725</v>
      </c>
      <c r="P34" s="2">
        <v>1600</v>
      </c>
      <c r="Q34" s="2">
        <v>1758</v>
      </c>
      <c r="R34" s="2">
        <v>1500</v>
      </c>
      <c r="S34" s="2">
        <v>1500</v>
      </c>
      <c r="T34" s="75">
        <f>(S34-P34)/P34</f>
        <v>-0.0625</v>
      </c>
    </row>
    <row r="35" spans="1:20" ht="12.75" hidden="1">
      <c r="A35" t="s">
        <v>149</v>
      </c>
      <c r="B35" s="4">
        <v>52.2206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5"/>
    </row>
    <row r="36" spans="1:20" ht="12.75">
      <c r="A36" t="s">
        <v>165</v>
      </c>
      <c r="B36" s="4">
        <v>53.178</v>
      </c>
      <c r="C36" s="2"/>
      <c r="D36" s="2"/>
      <c r="E36" s="2"/>
      <c r="F36" s="2"/>
      <c r="G36" s="2"/>
      <c r="H36" s="2"/>
      <c r="I36" s="2"/>
      <c r="J36" s="2"/>
      <c r="K36" s="2">
        <v>180</v>
      </c>
      <c r="L36" s="2"/>
      <c r="M36" s="2"/>
      <c r="N36" s="2">
        <v>196</v>
      </c>
      <c r="O36" s="2">
        <v>98</v>
      </c>
      <c r="P36" s="2"/>
      <c r="Q36" s="2">
        <v>180</v>
      </c>
      <c r="R36" s="2"/>
      <c r="S36" s="2"/>
      <c r="T36" s="75"/>
    </row>
    <row r="37" spans="1:21" ht="12.75">
      <c r="A37" t="s">
        <v>328</v>
      </c>
      <c r="B37" s="4"/>
      <c r="C37" s="2"/>
      <c r="D37" s="2"/>
      <c r="E37" s="2"/>
      <c r="F37" s="2"/>
      <c r="G37" s="2"/>
      <c r="H37" s="2">
        <v>800</v>
      </c>
      <c r="I37" s="2">
        <v>900</v>
      </c>
      <c r="J37" s="2">
        <v>425</v>
      </c>
      <c r="K37" s="2">
        <v>700</v>
      </c>
      <c r="L37" s="2"/>
      <c r="M37" s="2"/>
      <c r="N37" s="2"/>
      <c r="O37" s="2"/>
      <c r="P37" s="2"/>
      <c r="Q37" s="2">
        <v>535</v>
      </c>
      <c r="R37" s="2">
        <v>535</v>
      </c>
      <c r="S37" s="2">
        <v>535</v>
      </c>
      <c r="T37" s="75"/>
      <c r="U37" s="10" t="s">
        <v>464</v>
      </c>
    </row>
    <row r="38" spans="1:20" ht="12.75">
      <c r="A38" t="s">
        <v>461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5"/>
    </row>
    <row r="39" spans="1:20" ht="12.75">
      <c r="A39" t="s">
        <v>346</v>
      </c>
      <c r="B39" s="4">
        <v>54.24</v>
      </c>
      <c r="C39" s="2"/>
      <c r="D39" s="2"/>
      <c r="E39" s="2"/>
      <c r="F39" s="2"/>
      <c r="G39" s="2"/>
      <c r="H39" s="2"/>
      <c r="I39" s="2"/>
      <c r="J39" s="2">
        <v>6495</v>
      </c>
      <c r="K39" s="2">
        <v>1364</v>
      </c>
      <c r="L39" s="2">
        <v>1186</v>
      </c>
      <c r="M39" s="2">
        <v>400</v>
      </c>
      <c r="N39" s="2"/>
      <c r="O39" s="2"/>
      <c r="P39" s="2"/>
      <c r="Q39" s="2"/>
      <c r="R39" s="2"/>
      <c r="S39" s="2"/>
      <c r="T39" s="75"/>
    </row>
    <row r="40" spans="1:20" ht="12.75">
      <c r="A40" t="s">
        <v>462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5"/>
    </row>
    <row r="41" spans="1:20" ht="12.75">
      <c r="A41" t="s">
        <v>152</v>
      </c>
      <c r="B41" s="4" t="s">
        <v>92</v>
      </c>
      <c r="C41" s="2">
        <v>69</v>
      </c>
      <c r="D41" s="2">
        <v>268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 t="shared" si="0"/>
        <v>0</v>
      </c>
      <c r="P41" s="2"/>
      <c r="Q41" s="2"/>
      <c r="R41" s="2"/>
      <c r="S41" s="2"/>
      <c r="T41" s="75"/>
    </row>
    <row r="42" spans="1:20" ht="12.75">
      <c r="A42" t="s">
        <v>296</v>
      </c>
      <c r="B42" s="4" t="s">
        <v>92</v>
      </c>
      <c r="C42" s="2"/>
      <c r="D42" s="2">
        <v>300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f t="shared" si="0"/>
        <v>0</v>
      </c>
      <c r="P42" s="2"/>
      <c r="Q42" s="2"/>
      <c r="R42" s="2"/>
      <c r="S42" s="2"/>
      <c r="T42" s="75"/>
    </row>
    <row r="43" spans="1:20" ht="12.75">
      <c r="A43" t="s">
        <v>719</v>
      </c>
      <c r="B43" s="4"/>
      <c r="C43" s="5"/>
      <c r="D43" s="5"/>
      <c r="E43" s="5"/>
      <c r="F43" s="5"/>
      <c r="G43" s="5"/>
      <c r="H43" s="5"/>
      <c r="I43" s="5"/>
      <c r="J43" s="5"/>
      <c r="K43" s="5">
        <v>3018</v>
      </c>
      <c r="L43" s="5"/>
      <c r="M43" s="5"/>
      <c r="N43" s="2"/>
      <c r="O43" s="2"/>
      <c r="P43" s="5"/>
      <c r="Q43" s="5"/>
      <c r="R43" s="5"/>
      <c r="S43" s="5"/>
      <c r="T43" s="48"/>
    </row>
    <row r="44" spans="1:20" ht="12.75">
      <c r="A44" s="6" t="s">
        <v>91</v>
      </c>
      <c r="B44" s="6"/>
      <c r="C44" s="7">
        <f aca="true" t="shared" si="1" ref="C44:I44">SUM(C7:C43)</f>
        <v>64232</v>
      </c>
      <c r="D44" s="8">
        <f t="shared" si="1"/>
        <v>64032</v>
      </c>
      <c r="E44" s="8">
        <f t="shared" si="1"/>
        <v>68384</v>
      </c>
      <c r="F44" s="8">
        <f t="shared" si="1"/>
        <v>68967</v>
      </c>
      <c r="G44" s="8">
        <f t="shared" si="1"/>
        <v>74920</v>
      </c>
      <c r="H44" s="8">
        <f t="shared" si="1"/>
        <v>76431</v>
      </c>
      <c r="I44" s="8">
        <f t="shared" si="1"/>
        <v>71945</v>
      </c>
      <c r="J44" s="8">
        <v>81267</v>
      </c>
      <c r="K44" s="8">
        <f aca="true" t="shared" si="2" ref="K44:Q44">SUM(K7:K43)</f>
        <v>81298</v>
      </c>
      <c r="L44" s="8">
        <v>76933</v>
      </c>
      <c r="M44" s="8">
        <v>70109</v>
      </c>
      <c r="N44" s="8">
        <f t="shared" si="2"/>
        <v>63749</v>
      </c>
      <c r="O44" s="8">
        <f t="shared" si="2"/>
        <v>69398.09090909091</v>
      </c>
      <c r="P44" s="8">
        <f>SUM(P7:P43)</f>
        <v>68233</v>
      </c>
      <c r="Q44" s="8">
        <f t="shared" si="2"/>
        <v>73151.8175</v>
      </c>
      <c r="R44" s="8">
        <f>SUM(R7:R43)</f>
        <v>69338.008</v>
      </c>
      <c r="S44" s="8">
        <f>SUM(S7:S43)</f>
        <v>71192.8175</v>
      </c>
      <c r="T44" s="48">
        <f>(S44-P44)/P44</f>
        <v>0.0433780941773043</v>
      </c>
    </row>
    <row r="45" ht="12.75">
      <c r="T45" s="48"/>
    </row>
    <row r="46" spans="16:20" ht="12.75">
      <c r="P46" s="20" t="s">
        <v>445</v>
      </c>
      <c r="Q46" s="20"/>
      <c r="R46" s="52">
        <f>Q44-R44</f>
        <v>3813.809500000003</v>
      </c>
      <c r="T46" s="48"/>
    </row>
    <row r="47" spans="16:20" ht="12.75">
      <c r="P47" s="20" t="s">
        <v>668</v>
      </c>
      <c r="Q47" s="20"/>
      <c r="R47" s="52">
        <f>P44-R44</f>
        <v>-1105.0080000000016</v>
      </c>
      <c r="T47" s="48"/>
    </row>
    <row r="48" spans="16:20" ht="12.75">
      <c r="P48" s="20" t="s">
        <v>397</v>
      </c>
      <c r="Q48" s="20"/>
      <c r="R48" s="52">
        <f>R44-S44</f>
        <v>-1854.809500000003</v>
      </c>
      <c r="T48" s="48"/>
    </row>
    <row r="49" spans="16:20" ht="12.75">
      <c r="P49" s="20"/>
      <c r="Q49" s="20"/>
      <c r="R49" s="52"/>
      <c r="T49" s="48"/>
    </row>
    <row r="50" spans="1:20" ht="12.75">
      <c r="A50" s="30" t="s">
        <v>333</v>
      </c>
      <c r="B50" s="30" t="s">
        <v>576</v>
      </c>
      <c r="T50" s="48"/>
    </row>
    <row r="51" spans="1:20" ht="12.75">
      <c r="A51" t="s">
        <v>51</v>
      </c>
      <c r="T51" s="48"/>
    </row>
    <row r="52" spans="1:20" ht="12.75">
      <c r="A52" s="30" t="s">
        <v>15</v>
      </c>
      <c r="O52" s="2"/>
      <c r="T52" s="48"/>
    </row>
    <row r="53" spans="15:20" ht="12.75">
      <c r="O53" s="2"/>
      <c r="P53" s="5"/>
      <c r="T53" s="48"/>
    </row>
    <row r="54" spans="15:20" ht="12.75">
      <c r="O54" s="2"/>
      <c r="P54" s="5"/>
      <c r="T54" s="48"/>
    </row>
    <row r="55" spans="15:20" ht="12.75">
      <c r="O55" s="2"/>
      <c r="P55" s="5"/>
      <c r="T55" s="48"/>
    </row>
    <row r="56" spans="15:20" ht="12.75">
      <c r="O56" s="2"/>
      <c r="T56" s="48"/>
    </row>
    <row r="57" spans="15:20" ht="12.75">
      <c r="O57" s="2"/>
      <c r="T57" s="48"/>
    </row>
    <row r="58" spans="15:20" ht="12.75">
      <c r="O58" s="2"/>
      <c r="T58" s="48"/>
    </row>
    <row r="59" ht="12.75">
      <c r="O59" s="2"/>
    </row>
    <row r="60" ht="12.75">
      <c r="O60" s="2"/>
    </row>
    <row r="61" spans="15:16" ht="12.75">
      <c r="O61" s="2"/>
      <c r="P61" s="5"/>
    </row>
    <row r="62" ht="12.75">
      <c r="O62" s="2"/>
    </row>
    <row r="63" ht="12.75">
      <c r="O63" s="2"/>
    </row>
    <row r="64" ht="12.75">
      <c r="O64" s="2"/>
    </row>
    <row r="65" ht="12.75">
      <c r="O65" s="2"/>
    </row>
    <row r="66" spans="15:16" ht="12.75">
      <c r="O66" s="2"/>
      <c r="P66" s="5"/>
    </row>
    <row r="67" ht="12.75">
      <c r="O67" s="2"/>
    </row>
    <row r="68" ht="12.75">
      <c r="O68" s="2"/>
    </row>
    <row r="69" ht="12.75">
      <c r="O69" s="2"/>
    </row>
    <row r="70" ht="12.75">
      <c r="O70" s="2"/>
    </row>
    <row r="71" ht="12.75">
      <c r="T71" s="2"/>
    </row>
    <row r="72" ht="12.75">
      <c r="T72" s="2"/>
    </row>
    <row r="73" spans="16:20" ht="12.75">
      <c r="P73" s="5"/>
      <c r="T73" s="2"/>
    </row>
    <row r="74" spans="16:20" ht="12.75">
      <c r="P74" s="5"/>
      <c r="T74" s="2"/>
    </row>
    <row r="75" ht="12.75">
      <c r="T75" s="2"/>
    </row>
    <row r="76" ht="12.75">
      <c r="T76" s="2"/>
    </row>
    <row r="85" spans="12:15" ht="12.75">
      <c r="L85" s="2"/>
      <c r="M85" s="2"/>
      <c r="N85" s="2"/>
      <c r="O85" s="2"/>
    </row>
    <row r="86" spans="12:15" ht="12.75">
      <c r="L86" s="2"/>
      <c r="M86" s="2"/>
      <c r="N86" s="2"/>
      <c r="O86" s="2"/>
    </row>
    <row r="87" spans="12:15" ht="12.75">
      <c r="L87" s="2"/>
      <c r="M87" s="2"/>
      <c r="N87" s="2"/>
      <c r="O87" s="2"/>
    </row>
    <row r="88" spans="12:15" ht="12.75">
      <c r="L88" s="2"/>
      <c r="M88" s="2"/>
      <c r="N88" s="2"/>
      <c r="O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P94" s="2"/>
      <c r="Q94" s="2"/>
      <c r="R94" s="2"/>
      <c r="S9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V70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28125" style="0" customWidth="1"/>
    <col min="3" max="6" width="11.7109375" style="0" hidden="1" customWidth="1"/>
    <col min="7" max="7" width="0.13671875" style="0" hidden="1" customWidth="1"/>
    <col min="8" max="10" width="11.7109375" style="0" hidden="1" customWidth="1"/>
    <col min="11" max="14" width="11.7109375" style="0" customWidth="1"/>
    <col min="15" max="15" width="13.421875" style="0" bestFit="1" customWidth="1"/>
    <col min="16" max="16" width="11.7109375" style="0" customWidth="1"/>
    <col min="17" max="17" width="9.7109375" style="0" bestFit="1" customWidth="1"/>
    <col min="18" max="18" width="10.7109375" style="0" bestFit="1" customWidth="1"/>
    <col min="19" max="19" width="9.710937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441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 t="s">
        <v>418</v>
      </c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1" ht="12.75">
      <c r="A7" t="s">
        <v>628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/>
      <c r="N7" s="2"/>
      <c r="O7" s="2"/>
      <c r="P7" s="2">
        <v>0</v>
      </c>
      <c r="Q7" s="2"/>
      <c r="R7" s="2"/>
      <c r="S7" s="2">
        <v>0</v>
      </c>
      <c r="T7" s="75" t="e">
        <f>(S7-P7)/P7</f>
        <v>#DIV/0!</v>
      </c>
      <c r="U7" t="s">
        <v>338</v>
      </c>
    </row>
    <row r="8" spans="2:20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8"/>
    </row>
    <row r="9" spans="1:20" ht="12.75">
      <c r="A9" s="6" t="s">
        <v>91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S9">SUM(K7:K8)</f>
        <v>2352</v>
      </c>
      <c r="L9" s="8">
        <v>2352</v>
      </c>
      <c r="M9" s="8"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79" t="e">
        <f>(S9-P9)/P9</f>
        <v>#DIV/0!</v>
      </c>
    </row>
    <row r="10" ht="12.75">
      <c r="T10" s="48"/>
    </row>
    <row r="11" spans="16:20" ht="12.75">
      <c r="P11" s="20" t="s">
        <v>445</v>
      </c>
      <c r="Q11" s="20"/>
      <c r="R11" s="52">
        <f>Q9-R9</f>
        <v>0</v>
      </c>
      <c r="T11" s="48"/>
    </row>
    <row r="12" spans="16:20" ht="12.75">
      <c r="P12" s="20" t="s">
        <v>668</v>
      </c>
      <c r="Q12" s="20"/>
      <c r="R12" s="52">
        <f>P9-R9</f>
        <v>0</v>
      </c>
      <c r="T12" s="48"/>
    </row>
    <row r="13" spans="1:20" ht="12.75">
      <c r="A13" s="6" t="s">
        <v>37</v>
      </c>
      <c r="P13" s="20" t="s">
        <v>397</v>
      </c>
      <c r="Q13" s="20"/>
      <c r="R13" s="52">
        <f>R9-S9</f>
        <v>0</v>
      </c>
      <c r="T13" s="48"/>
    </row>
    <row r="14" spans="1:20" ht="12.75">
      <c r="A14" s="6"/>
      <c r="T14" s="48"/>
    </row>
    <row r="15" spans="1:20" ht="12.75">
      <c r="A15" s="6"/>
      <c r="T15" s="48"/>
    </row>
    <row r="16" ht="12.75"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2" ht="12.75">
      <c r="T52" s="48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V8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7" width="8.7109375" style="0" hidden="1" customWidth="1"/>
    <col min="8" max="8" width="7.140625" style="0" hidden="1" customWidth="1"/>
    <col min="9" max="9" width="8.00390625" style="0" hidden="1" customWidth="1"/>
    <col min="10" max="10" width="8.7109375" style="0" hidden="1" customWidth="1"/>
    <col min="11" max="13" width="8.7109375" style="0" customWidth="1"/>
    <col min="14" max="14" width="8.00390625" style="0" bestFit="1" customWidth="1"/>
    <col min="15" max="15" width="9.00390625" style="0" customWidth="1"/>
    <col min="16" max="16" width="10.7109375" style="0" customWidth="1"/>
    <col min="17" max="17" width="10.140625" style="0" customWidth="1"/>
    <col min="18" max="18" width="11.00390625" style="0" bestFit="1" customWidth="1"/>
    <col min="19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7"/>
      <c r="M2" s="137"/>
      <c r="N2" s="137"/>
    </row>
    <row r="3" spans="1:20" ht="12.75">
      <c r="A3" s="6" t="s">
        <v>442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1" ht="12.75">
      <c r="A7" t="s">
        <v>602</v>
      </c>
      <c r="B7" s="4">
        <v>51.11</v>
      </c>
      <c r="C7" s="1"/>
      <c r="D7" s="85"/>
      <c r="E7" s="85"/>
      <c r="F7" s="85"/>
      <c r="G7" s="85"/>
      <c r="H7" s="85"/>
      <c r="I7" s="85"/>
      <c r="J7" s="89">
        <v>12923</v>
      </c>
      <c r="K7" s="89">
        <v>82737</v>
      </c>
      <c r="L7" s="106">
        <v>74412.73</v>
      </c>
      <c r="M7" s="106">
        <v>8009</v>
      </c>
      <c r="N7" s="89">
        <v>37148</v>
      </c>
      <c r="O7" s="2">
        <f>+N7/$N$3*12</f>
        <v>74296</v>
      </c>
      <c r="P7" s="106">
        <v>77567</v>
      </c>
      <c r="Q7" s="106">
        <v>79199</v>
      </c>
      <c r="R7" s="106">
        <v>79199</v>
      </c>
      <c r="S7" s="106">
        <v>79199</v>
      </c>
      <c r="T7" s="75">
        <f>(S7-P7)/P7</f>
        <v>0.021039875204661777</v>
      </c>
      <c r="U7" t="s">
        <v>338</v>
      </c>
    </row>
    <row r="8" spans="1:20" ht="12.75">
      <c r="A8" t="s">
        <v>133</v>
      </c>
      <c r="B8" s="4">
        <v>51.21</v>
      </c>
      <c r="C8" s="1"/>
      <c r="D8" s="85"/>
      <c r="E8" s="85"/>
      <c r="F8" s="85"/>
      <c r="G8" s="85"/>
      <c r="H8" s="85"/>
      <c r="I8" s="85"/>
      <c r="J8" s="89"/>
      <c r="K8" s="89">
        <v>1377</v>
      </c>
      <c r="L8" s="106">
        <v>3971</v>
      </c>
      <c r="M8" s="106">
        <v>4555</v>
      </c>
      <c r="N8" s="89">
        <v>2659</v>
      </c>
      <c r="O8" s="2">
        <f>+N8/$N$3*12</f>
        <v>5318</v>
      </c>
      <c r="P8" s="106">
        <v>4920</v>
      </c>
      <c r="Q8" s="106">
        <v>4960</v>
      </c>
      <c r="R8" s="22">
        <v>4960</v>
      </c>
      <c r="S8" s="22">
        <v>4960</v>
      </c>
      <c r="T8" s="75">
        <f aca="true" t="shared" si="0" ref="T8:T35">(S8-P8)/P8</f>
        <v>0.008130081300813009</v>
      </c>
    </row>
    <row r="9" spans="1:21" ht="12.75">
      <c r="A9" t="s">
        <v>113</v>
      </c>
      <c r="B9" s="4">
        <v>51.22</v>
      </c>
      <c r="C9" s="1"/>
      <c r="D9" s="85"/>
      <c r="E9" s="85"/>
      <c r="F9" s="85"/>
      <c r="G9" s="85"/>
      <c r="H9" s="85"/>
      <c r="I9" s="85"/>
      <c r="J9" s="89">
        <v>989</v>
      </c>
      <c r="K9" s="89">
        <v>6142</v>
      </c>
      <c r="L9" s="106">
        <v>6123.72</v>
      </c>
      <c r="M9" s="106">
        <v>891</v>
      </c>
      <c r="N9" s="89">
        <v>3877</v>
      </c>
      <c r="O9" s="2">
        <f>+N9/$N$3*12</f>
        <v>7754</v>
      </c>
      <c r="P9" s="106">
        <f>(P7+P10)*0.0765</f>
        <v>8993.8755</v>
      </c>
      <c r="Q9" s="106">
        <f>(Q7+Q10)*0.0765</f>
        <v>9118.7235</v>
      </c>
      <c r="R9" s="106">
        <f>(R7+R10)*0.0765</f>
        <v>9118.7235</v>
      </c>
      <c r="S9" s="106">
        <f>(S7+S10)*0.0765</f>
        <v>9118.7235</v>
      </c>
      <c r="T9" s="75">
        <f t="shared" si="0"/>
        <v>0.01388144632422363</v>
      </c>
      <c r="U9" t="s">
        <v>338</v>
      </c>
    </row>
    <row r="10" spans="1:21" ht="12.75">
      <c r="A10" t="s">
        <v>688</v>
      </c>
      <c r="B10" s="4">
        <v>51.1103</v>
      </c>
      <c r="C10" s="1"/>
      <c r="D10" s="85"/>
      <c r="E10" s="85"/>
      <c r="F10" s="85"/>
      <c r="G10" s="85"/>
      <c r="H10" s="85"/>
      <c r="I10" s="85"/>
      <c r="J10" s="89"/>
      <c r="K10" s="89"/>
      <c r="L10" s="106">
        <v>13500</v>
      </c>
      <c r="M10" s="106"/>
      <c r="N10" s="89">
        <v>18000</v>
      </c>
      <c r="O10" s="2">
        <v>40000</v>
      </c>
      <c r="P10" s="106">
        <v>40000</v>
      </c>
      <c r="Q10" s="106">
        <v>40000</v>
      </c>
      <c r="R10" s="106">
        <v>40000</v>
      </c>
      <c r="S10" s="106">
        <v>40000</v>
      </c>
      <c r="T10" s="75">
        <f t="shared" si="0"/>
        <v>0</v>
      </c>
      <c r="U10" t="s">
        <v>338</v>
      </c>
    </row>
    <row r="11" spans="3:20" ht="12.75">
      <c r="C11" s="1"/>
      <c r="D11" s="85"/>
      <c r="E11" s="85"/>
      <c r="F11" s="85"/>
      <c r="G11" s="85"/>
      <c r="H11" s="85"/>
      <c r="I11" s="85"/>
      <c r="J11" s="89"/>
      <c r="K11" s="89"/>
      <c r="L11" s="106"/>
      <c r="M11" s="106"/>
      <c r="N11" s="89"/>
      <c r="O11" s="2"/>
      <c r="P11" s="104"/>
      <c r="Q11" s="106"/>
      <c r="R11" s="106"/>
      <c r="S11" s="106"/>
      <c r="T11" s="75"/>
    </row>
    <row r="12" spans="1:22" ht="12.75">
      <c r="A12" t="s">
        <v>131</v>
      </c>
      <c r="B12" s="4">
        <v>52.12</v>
      </c>
      <c r="C12" s="1"/>
      <c r="D12" s="85"/>
      <c r="E12" s="85"/>
      <c r="F12" s="85"/>
      <c r="G12" s="85"/>
      <c r="H12" s="85"/>
      <c r="I12" s="85"/>
      <c r="J12" s="89"/>
      <c r="K12" s="89">
        <f>460+660</f>
        <v>1120</v>
      </c>
      <c r="L12" s="106">
        <v>5853</v>
      </c>
      <c r="M12" s="106">
        <v>16896</v>
      </c>
      <c r="N12" s="89">
        <v>8962</v>
      </c>
      <c r="O12" s="2">
        <v>19000</v>
      </c>
      <c r="P12" s="106">
        <v>19000</v>
      </c>
      <c r="Q12" s="106">
        <v>19000</v>
      </c>
      <c r="R12" s="106">
        <v>19000</v>
      </c>
      <c r="S12" s="106">
        <v>19000</v>
      </c>
      <c r="T12" s="75">
        <f t="shared" si="0"/>
        <v>0</v>
      </c>
      <c r="V12" s="5"/>
    </row>
    <row r="13" spans="1:22" ht="12.75">
      <c r="A13" t="s">
        <v>818</v>
      </c>
      <c r="B13" s="4">
        <v>52.1202</v>
      </c>
      <c r="C13" s="2"/>
      <c r="D13" s="2"/>
      <c r="E13" s="2"/>
      <c r="F13" s="2"/>
      <c r="G13" s="2"/>
      <c r="H13" s="2"/>
      <c r="I13" s="2"/>
      <c r="J13" s="18"/>
      <c r="K13" s="18"/>
      <c r="L13" s="130"/>
      <c r="M13" s="130">
        <v>9000</v>
      </c>
      <c r="N13" s="18">
        <v>12000</v>
      </c>
      <c r="O13" s="2">
        <v>12000</v>
      </c>
      <c r="P13" s="106">
        <v>12000</v>
      </c>
      <c r="Q13" s="18">
        <v>12000</v>
      </c>
      <c r="R13" s="18">
        <v>12000</v>
      </c>
      <c r="S13" s="18">
        <v>12000</v>
      </c>
      <c r="T13" s="75">
        <f t="shared" si="0"/>
        <v>0</v>
      </c>
      <c r="V13" s="5"/>
    </row>
    <row r="14" spans="1:22" ht="12.75">
      <c r="A14" t="s">
        <v>27</v>
      </c>
      <c r="B14" s="4">
        <v>52.1223</v>
      </c>
      <c r="C14" s="1"/>
      <c r="D14" s="85"/>
      <c r="E14" s="85"/>
      <c r="F14" s="85"/>
      <c r="G14" s="85"/>
      <c r="H14" s="85"/>
      <c r="I14" s="85"/>
      <c r="J14" s="89"/>
      <c r="K14" s="89"/>
      <c r="L14" s="106"/>
      <c r="M14" s="106"/>
      <c r="N14" s="156">
        <v>0</v>
      </c>
      <c r="O14" s="2">
        <v>6000</v>
      </c>
      <c r="P14" s="106">
        <v>16550</v>
      </c>
      <c r="Q14" s="106">
        <v>16550</v>
      </c>
      <c r="R14" s="106">
        <v>16550</v>
      </c>
      <c r="S14" s="106">
        <v>16550</v>
      </c>
      <c r="T14" s="75">
        <f t="shared" si="0"/>
        <v>0</v>
      </c>
      <c r="U14" t="s">
        <v>915</v>
      </c>
      <c r="V14" s="5"/>
    </row>
    <row r="15" spans="1:22" ht="12.75">
      <c r="A15" t="s">
        <v>627</v>
      </c>
      <c r="B15" s="4">
        <v>52.124</v>
      </c>
      <c r="C15" s="1"/>
      <c r="D15" s="85"/>
      <c r="E15" s="85"/>
      <c r="F15" s="85"/>
      <c r="G15" s="85"/>
      <c r="H15" s="85"/>
      <c r="I15" s="85"/>
      <c r="J15" s="89"/>
      <c r="K15" s="89"/>
      <c r="L15" s="106"/>
      <c r="M15" s="106"/>
      <c r="N15" s="89">
        <v>3140</v>
      </c>
      <c r="O15" s="2">
        <v>3200</v>
      </c>
      <c r="P15" s="106">
        <v>1800</v>
      </c>
      <c r="Q15" s="106">
        <v>3500</v>
      </c>
      <c r="R15" s="106">
        <v>3200</v>
      </c>
      <c r="S15" s="106">
        <v>3200</v>
      </c>
      <c r="T15" s="75">
        <f t="shared" si="0"/>
        <v>0.7777777777777778</v>
      </c>
      <c r="V15" s="5"/>
    </row>
    <row r="16" spans="1:22" ht="12.75">
      <c r="A16" t="s">
        <v>720</v>
      </c>
      <c r="B16" s="4">
        <v>52.1319</v>
      </c>
      <c r="C16" s="2"/>
      <c r="D16" s="2"/>
      <c r="E16" s="2"/>
      <c r="F16" s="2"/>
      <c r="G16" s="2"/>
      <c r="H16" s="2"/>
      <c r="I16" s="2"/>
      <c r="J16" s="18"/>
      <c r="K16" s="18"/>
      <c r="L16" s="130">
        <f>5308+1242</f>
        <v>6550</v>
      </c>
      <c r="M16" s="130"/>
      <c r="N16" s="18">
        <v>610</v>
      </c>
      <c r="O16" s="2">
        <v>2500</v>
      </c>
      <c r="P16" s="106">
        <v>2500</v>
      </c>
      <c r="Q16" s="18">
        <v>2500</v>
      </c>
      <c r="R16" s="18">
        <v>2500</v>
      </c>
      <c r="S16" s="18">
        <v>2500</v>
      </c>
      <c r="T16" s="75">
        <f t="shared" si="0"/>
        <v>0</v>
      </c>
      <c r="V16" s="5"/>
    </row>
    <row r="17" spans="1:22" ht="12.75" hidden="1">
      <c r="A17" t="s">
        <v>721</v>
      </c>
      <c r="B17" s="4">
        <v>52.22</v>
      </c>
      <c r="C17" s="2"/>
      <c r="D17" s="2"/>
      <c r="E17" s="2"/>
      <c r="F17" s="2"/>
      <c r="G17" s="2"/>
      <c r="H17" s="2"/>
      <c r="I17" s="2"/>
      <c r="J17" s="18"/>
      <c r="K17" s="18"/>
      <c r="L17" s="130"/>
      <c r="M17" s="130"/>
      <c r="N17" s="18"/>
      <c r="O17" s="2"/>
      <c r="P17" s="106"/>
      <c r="Q17" s="18"/>
      <c r="R17" s="18"/>
      <c r="S17" s="18"/>
      <c r="T17" s="75" t="e">
        <f t="shared" si="0"/>
        <v>#DIV/0!</v>
      </c>
      <c r="V17" s="5"/>
    </row>
    <row r="18" spans="1:22" ht="12.75">
      <c r="A18" t="s">
        <v>722</v>
      </c>
      <c r="B18" s="4">
        <v>52.2313</v>
      </c>
      <c r="C18" s="2"/>
      <c r="D18" s="2"/>
      <c r="E18" s="2"/>
      <c r="F18" s="2"/>
      <c r="G18" s="2"/>
      <c r="H18" s="2"/>
      <c r="I18" s="2"/>
      <c r="J18" s="18"/>
      <c r="K18" s="18">
        <v>4000</v>
      </c>
      <c r="L18" s="130">
        <f>4000+400</f>
        <v>4400</v>
      </c>
      <c r="M18" s="130">
        <v>3927</v>
      </c>
      <c r="N18" s="18"/>
      <c r="O18" s="2"/>
      <c r="P18" s="106"/>
      <c r="Q18" s="18"/>
      <c r="R18" s="18"/>
      <c r="S18" s="18"/>
      <c r="T18" s="75"/>
      <c r="V18" s="5"/>
    </row>
    <row r="19" spans="1:22" ht="12.75">
      <c r="A19" t="s">
        <v>115</v>
      </c>
      <c r="B19" s="4">
        <v>52.32</v>
      </c>
      <c r="C19" s="1"/>
      <c r="D19" s="85"/>
      <c r="E19" s="85"/>
      <c r="F19" s="85"/>
      <c r="G19" s="85"/>
      <c r="H19" s="85"/>
      <c r="I19" s="85"/>
      <c r="J19" s="89">
        <v>149</v>
      </c>
      <c r="K19" s="89">
        <v>781</v>
      </c>
      <c r="L19" s="106">
        <f>912+111</f>
        <v>1023</v>
      </c>
      <c r="M19" s="106">
        <v>1138</v>
      </c>
      <c r="N19" s="89">
        <v>409</v>
      </c>
      <c r="O19" s="2">
        <f>+N19/$N$3*12</f>
        <v>818</v>
      </c>
      <c r="P19" s="106">
        <v>950</v>
      </c>
      <c r="Q19" s="106">
        <v>950</v>
      </c>
      <c r="R19" s="106">
        <v>950</v>
      </c>
      <c r="S19" s="106">
        <v>950</v>
      </c>
      <c r="T19" s="75">
        <f t="shared" si="0"/>
        <v>0</v>
      </c>
      <c r="U19" s="3"/>
      <c r="V19" s="5"/>
    </row>
    <row r="20" spans="1:21" ht="12.75">
      <c r="A20" t="s">
        <v>137</v>
      </c>
      <c r="B20" s="4">
        <v>52.33</v>
      </c>
      <c r="C20" s="2"/>
      <c r="D20" s="2"/>
      <c r="E20" s="2"/>
      <c r="F20" s="2"/>
      <c r="G20" s="2"/>
      <c r="H20" s="2"/>
      <c r="I20" s="2"/>
      <c r="J20" s="18"/>
      <c r="K20" s="18">
        <v>1565</v>
      </c>
      <c r="L20" s="130"/>
      <c r="M20" s="130"/>
      <c r="N20" s="155">
        <v>0</v>
      </c>
      <c r="O20" s="2">
        <f>+N20/$N$3*12</f>
        <v>0</v>
      </c>
      <c r="P20" s="106"/>
      <c r="Q20" s="18">
        <v>3500</v>
      </c>
      <c r="R20" s="18"/>
      <c r="S20" s="18"/>
      <c r="T20" s="75"/>
      <c r="U20" t="s">
        <v>463</v>
      </c>
    </row>
    <row r="21" spans="1:22" ht="12.75">
      <c r="A21" t="s">
        <v>723</v>
      </c>
      <c r="B21" s="4">
        <v>52.3405</v>
      </c>
      <c r="C21" s="1"/>
      <c r="D21" s="85"/>
      <c r="E21" s="85"/>
      <c r="F21" s="85"/>
      <c r="G21" s="85"/>
      <c r="H21" s="85"/>
      <c r="I21" s="85"/>
      <c r="J21" s="89"/>
      <c r="K21" s="89">
        <v>300</v>
      </c>
      <c r="L21" s="106"/>
      <c r="M21" s="106"/>
      <c r="N21" s="89"/>
      <c r="O21" s="2"/>
      <c r="P21" s="106"/>
      <c r="Q21" s="106"/>
      <c r="R21" s="106"/>
      <c r="S21" s="106"/>
      <c r="T21" s="75"/>
      <c r="U21" s="3"/>
      <c r="V21" s="5"/>
    </row>
    <row r="22" spans="1:22" ht="12.75">
      <c r="A22" t="s">
        <v>128</v>
      </c>
      <c r="B22" s="4">
        <v>52.35</v>
      </c>
      <c r="C22" s="1"/>
      <c r="D22" s="85"/>
      <c r="E22" s="85"/>
      <c r="F22" s="85"/>
      <c r="G22" s="85"/>
      <c r="H22" s="85"/>
      <c r="I22" s="85"/>
      <c r="J22" s="89">
        <v>1963</v>
      </c>
      <c r="K22" s="89">
        <v>4522</v>
      </c>
      <c r="L22" s="106">
        <v>1473</v>
      </c>
      <c r="M22" s="106">
        <v>4139</v>
      </c>
      <c r="N22" s="89">
        <v>786</v>
      </c>
      <c r="O22" s="2">
        <v>6000</v>
      </c>
      <c r="P22" s="106">
        <v>4000</v>
      </c>
      <c r="Q22" s="106">
        <v>4000</v>
      </c>
      <c r="R22" s="106">
        <v>4000</v>
      </c>
      <c r="S22" s="106">
        <v>4000</v>
      </c>
      <c r="T22" s="75">
        <f t="shared" si="0"/>
        <v>0</v>
      </c>
      <c r="U22" s="3"/>
      <c r="V22" s="5"/>
    </row>
    <row r="23" spans="1:20" ht="12.75">
      <c r="A23" t="s">
        <v>724</v>
      </c>
      <c r="B23" s="4">
        <v>52.3852</v>
      </c>
      <c r="C23" s="2">
        <v>38107</v>
      </c>
      <c r="D23" s="2">
        <v>30294</v>
      </c>
      <c r="E23" s="2"/>
      <c r="F23" s="2">
        <v>35994</v>
      </c>
      <c r="G23" s="2">
        <v>33970</v>
      </c>
      <c r="H23" s="2">
        <v>38921</v>
      </c>
      <c r="I23" s="2">
        <v>45177</v>
      </c>
      <c r="J23" s="18">
        <v>37485</v>
      </c>
      <c r="K23" s="18">
        <v>17828</v>
      </c>
      <c r="L23" s="130">
        <f>13721+1008</f>
        <v>14729</v>
      </c>
      <c r="M23" s="130"/>
      <c r="N23" s="18"/>
      <c r="O23" s="2">
        <f>+N23/$N$3*12</f>
        <v>0</v>
      </c>
      <c r="P23" s="106"/>
      <c r="Q23" s="18"/>
      <c r="R23" s="18"/>
      <c r="S23" s="18"/>
      <c r="T23" s="75"/>
    </row>
    <row r="24" spans="1:22" ht="12.75">
      <c r="A24" t="s">
        <v>116</v>
      </c>
      <c r="B24" s="4">
        <v>52.321</v>
      </c>
      <c r="C24" s="2"/>
      <c r="D24" s="2"/>
      <c r="E24" s="2"/>
      <c r="F24" s="2"/>
      <c r="G24" s="2"/>
      <c r="H24" s="2"/>
      <c r="I24" s="2"/>
      <c r="J24" s="18"/>
      <c r="K24" s="18"/>
      <c r="L24" s="130">
        <v>112</v>
      </c>
      <c r="M24" s="130"/>
      <c r="N24" s="155">
        <v>0</v>
      </c>
      <c r="O24" s="2">
        <f>+N24/$N$3*12</f>
        <v>0</v>
      </c>
      <c r="P24" s="106"/>
      <c r="Q24" s="18">
        <v>100</v>
      </c>
      <c r="R24" s="18"/>
      <c r="S24" s="18"/>
      <c r="T24" s="75"/>
      <c r="V24" s="5"/>
    </row>
    <row r="25" spans="1:20" ht="12.75">
      <c r="A25" t="s">
        <v>703</v>
      </c>
      <c r="B25" s="4">
        <v>53.171</v>
      </c>
      <c r="C25" s="2"/>
      <c r="D25" s="2"/>
      <c r="E25" s="2"/>
      <c r="F25" s="2"/>
      <c r="G25" s="2"/>
      <c r="H25" s="2"/>
      <c r="I25" s="2"/>
      <c r="J25" s="18">
        <v>2</v>
      </c>
      <c r="K25" s="18"/>
      <c r="L25" s="130">
        <v>12</v>
      </c>
      <c r="M25" s="130"/>
      <c r="N25" s="18"/>
      <c r="O25" s="2">
        <f>+N25/$N$3*12</f>
        <v>0</v>
      </c>
      <c r="P25" s="106"/>
      <c r="Q25" s="18"/>
      <c r="R25" s="18"/>
      <c r="S25" s="18"/>
      <c r="T25" s="75"/>
    </row>
    <row r="26" spans="1:20" ht="12.75">
      <c r="A26" t="s">
        <v>711</v>
      </c>
      <c r="B26" s="4">
        <v>52.3604</v>
      </c>
      <c r="C26" s="2"/>
      <c r="D26" s="2"/>
      <c r="E26" s="2"/>
      <c r="F26" s="2"/>
      <c r="G26" s="2"/>
      <c r="H26" s="2"/>
      <c r="I26" s="2"/>
      <c r="J26" s="18"/>
      <c r="K26" s="18"/>
      <c r="L26" s="130"/>
      <c r="M26" s="130"/>
      <c r="N26" s="18">
        <v>300</v>
      </c>
      <c r="O26" s="2"/>
      <c r="P26" s="106">
        <v>285</v>
      </c>
      <c r="Q26" s="18">
        <v>300</v>
      </c>
      <c r="R26" s="18">
        <v>300</v>
      </c>
      <c r="S26" s="18">
        <v>300</v>
      </c>
      <c r="T26" s="75">
        <f t="shared" si="0"/>
        <v>0.05263157894736842</v>
      </c>
    </row>
    <row r="27" spans="2:20" ht="12.75">
      <c r="B27" s="4"/>
      <c r="C27" s="2"/>
      <c r="D27" s="2"/>
      <c r="E27" s="2"/>
      <c r="F27" s="2"/>
      <c r="G27" s="2"/>
      <c r="H27" s="2"/>
      <c r="I27" s="2"/>
      <c r="J27" s="18"/>
      <c r="K27" s="18"/>
      <c r="L27" s="130"/>
      <c r="M27" s="130"/>
      <c r="N27" s="18"/>
      <c r="O27" s="2"/>
      <c r="P27" s="106"/>
      <c r="Q27" s="18"/>
      <c r="R27" s="18"/>
      <c r="S27" s="18"/>
      <c r="T27" s="75"/>
    </row>
    <row r="28" spans="1:20" ht="12.75">
      <c r="A28" t="s">
        <v>328</v>
      </c>
      <c r="B28" s="4"/>
      <c r="C28" s="2"/>
      <c r="D28" s="2"/>
      <c r="E28" s="2"/>
      <c r="F28" s="2"/>
      <c r="G28" s="2"/>
      <c r="H28" s="2"/>
      <c r="I28" s="2"/>
      <c r="J28" s="18"/>
      <c r="K28" s="18"/>
      <c r="L28" s="130"/>
      <c r="M28" s="130"/>
      <c r="N28" s="18"/>
      <c r="O28" s="2"/>
      <c r="P28" s="106"/>
      <c r="Q28" s="18">
        <v>3200</v>
      </c>
      <c r="R28" s="18"/>
      <c r="S28" s="18"/>
      <c r="T28" s="75"/>
    </row>
    <row r="29" spans="2:20" ht="12.75">
      <c r="B29" s="4"/>
      <c r="C29" s="2"/>
      <c r="D29" s="2"/>
      <c r="E29" s="2"/>
      <c r="F29" s="2"/>
      <c r="G29" s="2"/>
      <c r="H29" s="2"/>
      <c r="I29" s="2"/>
      <c r="J29" s="18"/>
      <c r="K29" s="18"/>
      <c r="L29" s="130"/>
      <c r="M29" s="130"/>
      <c r="N29" s="18"/>
      <c r="O29" s="2"/>
      <c r="P29" s="2"/>
      <c r="Q29" s="18"/>
      <c r="R29" s="18"/>
      <c r="S29" s="18"/>
      <c r="T29" s="75"/>
    </row>
    <row r="30" spans="1:20" ht="12.75" hidden="1">
      <c r="A30" t="s">
        <v>704</v>
      </c>
      <c r="B30" s="4"/>
      <c r="C30" s="2"/>
      <c r="D30" s="2"/>
      <c r="E30" s="2"/>
      <c r="F30" s="2"/>
      <c r="G30" s="2"/>
      <c r="H30" s="2"/>
      <c r="I30" s="2"/>
      <c r="J30" s="18">
        <v>15000</v>
      </c>
      <c r="K30" s="18"/>
      <c r="L30" s="130"/>
      <c r="M30" s="130"/>
      <c r="N30" s="18"/>
      <c r="O30" s="2">
        <f>+N30/$N$3*12</f>
        <v>0</v>
      </c>
      <c r="P30" s="2"/>
      <c r="Q30" s="18"/>
      <c r="R30" s="18"/>
      <c r="S30" s="18"/>
      <c r="T30" s="75" t="e">
        <f t="shared" si="0"/>
        <v>#DIV/0!</v>
      </c>
    </row>
    <row r="31" spans="1:20" ht="12.75">
      <c r="A31" t="s">
        <v>460</v>
      </c>
      <c r="B31" s="4">
        <v>57.1091</v>
      </c>
      <c r="C31" s="2">
        <v>5000</v>
      </c>
      <c r="D31" s="2">
        <v>5000</v>
      </c>
      <c r="E31" s="2"/>
      <c r="F31" s="2"/>
      <c r="G31" s="2"/>
      <c r="H31" s="2"/>
      <c r="I31" s="2"/>
      <c r="J31" s="18"/>
      <c r="K31" s="18">
        <v>5000</v>
      </c>
      <c r="L31" s="130"/>
      <c r="M31" s="130"/>
      <c r="N31" s="18"/>
      <c r="O31" s="2">
        <f>+N31/$N$3*12</f>
        <v>0</v>
      </c>
      <c r="P31" s="2"/>
      <c r="Q31" s="18"/>
      <c r="R31" s="18"/>
      <c r="S31" s="18"/>
      <c r="T31" s="75"/>
    </row>
    <row r="32" spans="1:20" ht="12.75">
      <c r="A32" t="s">
        <v>281</v>
      </c>
      <c r="B32" s="4">
        <v>57.21</v>
      </c>
      <c r="C32" s="2">
        <v>9200</v>
      </c>
      <c r="D32" s="2">
        <v>20000</v>
      </c>
      <c r="E32" s="2"/>
      <c r="F32" s="2">
        <v>22500</v>
      </c>
      <c r="G32" s="2">
        <v>25000</v>
      </c>
      <c r="H32" s="2">
        <v>25000</v>
      </c>
      <c r="I32" s="2">
        <v>18750</v>
      </c>
      <c r="J32" s="18">
        <v>25000</v>
      </c>
      <c r="K32" s="18">
        <v>25000</v>
      </c>
      <c r="L32" s="130">
        <v>25000</v>
      </c>
      <c r="M32" s="130">
        <v>21375</v>
      </c>
      <c r="N32" s="18">
        <v>6000</v>
      </c>
      <c r="O32" s="2">
        <v>12000</v>
      </c>
      <c r="P32" s="2">
        <v>12000</v>
      </c>
      <c r="Q32" s="34">
        <v>12000</v>
      </c>
      <c r="R32" s="34">
        <v>12000</v>
      </c>
      <c r="S32" s="34">
        <v>12000</v>
      </c>
      <c r="T32" s="75">
        <f t="shared" si="0"/>
        <v>0</v>
      </c>
    </row>
    <row r="33" spans="1:21" ht="12.75">
      <c r="A33" t="s">
        <v>282</v>
      </c>
      <c r="B33" s="4">
        <v>57.211</v>
      </c>
      <c r="C33" s="2">
        <v>25000</v>
      </c>
      <c r="D33" s="2">
        <v>21250</v>
      </c>
      <c r="E33" s="2">
        <v>20000</v>
      </c>
      <c r="F33" s="2">
        <v>95000</v>
      </c>
      <c r="G33" s="2">
        <v>18000</v>
      </c>
      <c r="H33" s="2">
        <v>8000</v>
      </c>
      <c r="I33" s="2">
        <v>8000</v>
      </c>
      <c r="J33" s="18">
        <v>8000</v>
      </c>
      <c r="K33" s="18">
        <v>8000</v>
      </c>
      <c r="L33" s="130">
        <v>8000</v>
      </c>
      <c r="M33" s="130"/>
      <c r="N33" s="155">
        <v>0</v>
      </c>
      <c r="O33" s="2"/>
      <c r="P33" s="18"/>
      <c r="Q33" s="18"/>
      <c r="R33" s="18"/>
      <c r="S33" s="18"/>
      <c r="T33" s="75"/>
      <c r="U33" t="s">
        <v>5</v>
      </c>
    </row>
    <row r="34" spans="1:20" ht="12.75" hidden="1">
      <c r="A34" t="s">
        <v>283</v>
      </c>
      <c r="B34" s="4">
        <v>57.2161</v>
      </c>
      <c r="C34" s="2">
        <v>6700</v>
      </c>
      <c r="D34" s="2">
        <v>6700</v>
      </c>
      <c r="E34" s="2"/>
      <c r="F34" s="2">
        <v>7000</v>
      </c>
      <c r="G34" s="2"/>
      <c r="H34" s="2"/>
      <c r="I34" s="2"/>
      <c r="J34" s="18"/>
      <c r="K34" s="18"/>
      <c r="L34" s="130"/>
      <c r="M34" s="130"/>
      <c r="N34" s="2"/>
      <c r="O34" s="2">
        <f>+N34/$N$3*12</f>
        <v>0</v>
      </c>
      <c r="P34" s="18"/>
      <c r="Q34" s="18"/>
      <c r="R34" s="18"/>
      <c r="S34" s="18"/>
      <c r="T34" s="75" t="e">
        <f t="shared" si="0"/>
        <v>#DIV/0!</v>
      </c>
    </row>
    <row r="35" spans="1:21" ht="12" customHeight="1">
      <c r="A35" t="s">
        <v>6</v>
      </c>
      <c r="B35" s="4">
        <v>57.2162</v>
      </c>
      <c r="C35" s="2"/>
      <c r="D35" s="2"/>
      <c r="E35" s="2"/>
      <c r="F35" s="2"/>
      <c r="G35" s="2"/>
      <c r="H35" s="2"/>
      <c r="I35" s="2"/>
      <c r="J35" s="18"/>
      <c r="K35" s="18"/>
      <c r="L35" s="130"/>
      <c r="M35" s="130"/>
      <c r="N35" s="2"/>
      <c r="O35" s="2">
        <v>15000</v>
      </c>
      <c r="P35" s="2">
        <v>15000</v>
      </c>
      <c r="Q35" s="18">
        <v>15000</v>
      </c>
      <c r="R35" s="18">
        <v>15000</v>
      </c>
      <c r="S35" s="18">
        <v>15000</v>
      </c>
      <c r="T35" s="75">
        <f t="shared" si="0"/>
        <v>0</v>
      </c>
      <c r="U35" t="s">
        <v>464</v>
      </c>
    </row>
    <row r="36" spans="1:20" ht="12.75" customHeight="1" hidden="1">
      <c r="A36" t="s">
        <v>297</v>
      </c>
      <c r="B36" s="4" t="s">
        <v>92</v>
      </c>
      <c r="C36" s="2"/>
      <c r="D36" s="2">
        <v>125722</v>
      </c>
      <c r="E36" s="2"/>
      <c r="F36" s="2"/>
      <c r="G36" s="2"/>
      <c r="H36" s="2"/>
      <c r="I36" s="2"/>
      <c r="J36" s="18"/>
      <c r="K36" s="18"/>
      <c r="L36" s="130"/>
      <c r="M36" s="130"/>
      <c r="N36" s="2"/>
      <c r="O36" s="2">
        <f>+N36/$N$3*12</f>
        <v>0</v>
      </c>
      <c r="P36" s="2"/>
      <c r="Q36" s="18"/>
      <c r="R36" s="18"/>
      <c r="S36" s="18"/>
      <c r="T36" s="48"/>
    </row>
    <row r="37" spans="1:21" ht="12.75" customHeight="1">
      <c r="A37" t="s">
        <v>17</v>
      </c>
      <c r="B37" s="4"/>
      <c r="C37" s="2"/>
      <c r="D37" s="2"/>
      <c r="E37" s="2"/>
      <c r="F37" s="2"/>
      <c r="G37" s="2"/>
      <c r="H37" s="2"/>
      <c r="I37" s="2"/>
      <c r="J37" s="18"/>
      <c r="K37" s="18"/>
      <c r="L37" s="130"/>
      <c r="M37" s="130"/>
      <c r="N37" s="2"/>
      <c r="O37" s="2"/>
      <c r="P37" s="2"/>
      <c r="Q37" s="18">
        <v>7500</v>
      </c>
      <c r="R37" s="18">
        <v>7500</v>
      </c>
      <c r="S37" s="18"/>
      <c r="T37" s="48"/>
      <c r="U37" t="s">
        <v>531</v>
      </c>
    </row>
    <row r="38" spans="1:20" ht="12.75">
      <c r="A38" t="s">
        <v>35</v>
      </c>
      <c r="B38" s="4"/>
      <c r="C38" s="2"/>
      <c r="D38" s="2"/>
      <c r="E38" s="2"/>
      <c r="F38" s="2"/>
      <c r="G38" s="2"/>
      <c r="H38" s="2"/>
      <c r="I38" s="2"/>
      <c r="J38" s="18"/>
      <c r="K38" s="18"/>
      <c r="L38" s="130"/>
      <c r="M38" s="130">
        <v>21984</v>
      </c>
      <c r="N38" s="18"/>
      <c r="O38" s="2"/>
      <c r="P38" s="18"/>
      <c r="Q38" s="18"/>
      <c r="R38" s="18"/>
      <c r="S38" s="18"/>
      <c r="T38" s="75"/>
    </row>
    <row r="39" spans="1:20" ht="12.75" hidden="1">
      <c r="A39" t="s">
        <v>291</v>
      </c>
      <c r="B39" s="4" t="s">
        <v>92</v>
      </c>
      <c r="C39" s="2">
        <v>23811</v>
      </c>
      <c r="D39" s="2"/>
      <c r="E39" s="2"/>
      <c r="F39" s="2"/>
      <c r="G39" s="2"/>
      <c r="H39" s="2"/>
      <c r="I39" s="2"/>
      <c r="J39" s="18"/>
      <c r="K39" s="18"/>
      <c r="L39" s="130"/>
      <c r="M39" s="130"/>
      <c r="N39" s="2"/>
      <c r="O39" s="2">
        <f>+N39/$N$3*12</f>
        <v>0</v>
      </c>
      <c r="P39" s="2"/>
      <c r="Q39" s="18"/>
      <c r="R39" s="18"/>
      <c r="S39" s="18"/>
      <c r="T39" s="48"/>
    </row>
    <row r="40" spans="2:20" ht="12.75">
      <c r="B40" s="4"/>
      <c r="C40" s="2"/>
      <c r="D40" s="2"/>
      <c r="E40" s="2"/>
      <c r="F40" s="2"/>
      <c r="G40" s="2"/>
      <c r="H40" s="2"/>
      <c r="I40" s="2"/>
      <c r="J40" s="18"/>
      <c r="K40" s="18"/>
      <c r="L40" s="130"/>
      <c r="M40" s="130"/>
      <c r="N40" s="2"/>
      <c r="O40" s="2"/>
      <c r="P40" s="2"/>
      <c r="Q40" s="18"/>
      <c r="R40" s="18"/>
      <c r="S40" s="18"/>
      <c r="T40" s="48"/>
    </row>
    <row r="41" spans="1:20" ht="12.75">
      <c r="A41" s="6" t="s">
        <v>91</v>
      </c>
      <c r="B41" s="6"/>
      <c r="C41" s="8">
        <f>SUM(C23:C40)</f>
        <v>107818</v>
      </c>
      <c r="D41" s="8">
        <f>SUM(D23:D40)</f>
        <v>208966</v>
      </c>
      <c r="E41" s="8">
        <f>SUM(E23:E40)</f>
        <v>20000</v>
      </c>
      <c r="F41" s="8">
        <f>SUM(F23:F40)</f>
        <v>160494</v>
      </c>
      <c r="G41" s="8">
        <f>SUM(G23:G40)</f>
        <v>76970</v>
      </c>
      <c r="H41" s="8">
        <v>71921</v>
      </c>
      <c r="I41" s="8">
        <v>63927</v>
      </c>
      <c r="J41" s="8">
        <v>96453</v>
      </c>
      <c r="K41" s="8">
        <v>150372</v>
      </c>
      <c r="L41" s="131">
        <v>157160</v>
      </c>
      <c r="M41" s="8">
        <v>91914</v>
      </c>
      <c r="N41" s="8">
        <f>SUM(N7:N40)-N33</f>
        <v>93891</v>
      </c>
      <c r="O41" s="8">
        <f>SUM(O7:O40)-O33</f>
        <v>203886</v>
      </c>
      <c r="P41" s="8">
        <f>SUM(P7:P40)-P33</f>
        <v>215565.8755</v>
      </c>
      <c r="Q41" s="157">
        <f>SUM(Q7:Q40)</f>
        <v>233377.7235</v>
      </c>
      <c r="R41" s="157">
        <f>SUM(R7:R40)</f>
        <v>226277.7235</v>
      </c>
      <c r="S41" s="157">
        <f>SUM(S7:S40)</f>
        <v>218777.7235</v>
      </c>
      <c r="T41" s="49">
        <f>(S41-P41)/P41</f>
        <v>0.014899612438889931</v>
      </c>
    </row>
    <row r="42" spans="3:20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8"/>
    </row>
    <row r="43" spans="3:20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0" t="s">
        <v>445</v>
      </c>
      <c r="Q43" s="20"/>
      <c r="R43" s="52">
        <f>Q41-R41</f>
        <v>7100</v>
      </c>
      <c r="S43" s="2"/>
      <c r="T43" s="48"/>
    </row>
    <row r="44" spans="1:20" ht="12.75">
      <c r="A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0" t="s">
        <v>668</v>
      </c>
      <c r="Q44" s="20"/>
      <c r="R44" s="52">
        <f>P41-R41</f>
        <v>-10711.847999999998</v>
      </c>
      <c r="S44" s="2"/>
      <c r="T44" s="48"/>
    </row>
    <row r="45" spans="16:20" ht="12.75">
      <c r="P45" s="20" t="s">
        <v>397</v>
      </c>
      <c r="Q45" s="20"/>
      <c r="R45" s="52">
        <f>R41-S41</f>
        <v>7500</v>
      </c>
      <c r="T45" s="48"/>
    </row>
    <row r="46" spans="1:20" ht="12.75">
      <c r="A46" t="s">
        <v>913</v>
      </c>
      <c r="T46" s="48"/>
    </row>
    <row r="47" spans="1:20" ht="12.75">
      <c r="A47" t="s">
        <v>914</v>
      </c>
      <c r="T47" s="48"/>
    </row>
    <row r="48" spans="1:20" ht="12.75">
      <c r="A48" t="s">
        <v>3</v>
      </c>
      <c r="T48" s="48"/>
    </row>
    <row r="49" spans="1:20" ht="12.75">
      <c r="A49" t="s">
        <v>4</v>
      </c>
      <c r="T49" s="48"/>
    </row>
    <row r="50" spans="1:20" ht="12.75">
      <c r="A50" t="s">
        <v>18</v>
      </c>
      <c r="T50" s="48"/>
    </row>
    <row r="51" ht="12.75">
      <c r="T51" s="48"/>
    </row>
    <row r="52" ht="12.75">
      <c r="T52" s="48"/>
    </row>
    <row r="53" ht="12.75">
      <c r="T53" s="48"/>
    </row>
    <row r="54" spans="1:20" ht="12.75">
      <c r="A54" s="6"/>
      <c r="T54" s="48"/>
    </row>
    <row r="55" spans="1:20" ht="12.75">
      <c r="A55" s="6"/>
      <c r="T55" s="48"/>
    </row>
    <row r="56" spans="1:20" ht="12.75">
      <c r="A56" s="6"/>
      <c r="T56" s="48"/>
    </row>
    <row r="57" ht="12.75">
      <c r="T57" s="48"/>
    </row>
    <row r="58" ht="12.75">
      <c r="T58" s="48"/>
    </row>
    <row r="59" ht="12.75">
      <c r="T59" s="48"/>
    </row>
    <row r="60" ht="12.75">
      <c r="T60" s="48"/>
    </row>
    <row r="61" ht="12.75">
      <c r="T61" s="48"/>
    </row>
    <row r="62" ht="12.75">
      <c r="T62" s="48"/>
    </row>
    <row r="63" ht="12.75">
      <c r="T63" s="48"/>
    </row>
    <row r="64" ht="12.75">
      <c r="T64" s="48"/>
    </row>
    <row r="65" ht="12.75">
      <c r="T65" s="48"/>
    </row>
    <row r="66" ht="12.75">
      <c r="T66" s="48"/>
    </row>
    <row r="67" ht="12.75">
      <c r="T67" s="48"/>
    </row>
    <row r="68" ht="12.75">
      <c r="T68" s="48"/>
    </row>
    <row r="81" ht="12.75">
      <c r="T81" s="2"/>
    </row>
    <row r="82" ht="12.75">
      <c r="T82" s="2"/>
    </row>
    <row r="83" spans="3:20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20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3:20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9" r:id="rId3"/>
  <headerFooter alignWithMargins="0">
    <oddFooter>&amp;L&amp;F
&amp;A&amp;CPage &amp;P of &amp;N&amp;R&amp;D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V6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10" width="11.7109375" style="0" hidden="1" customWidth="1"/>
    <col min="11" max="13" width="11.7109375" style="0" customWidth="1"/>
    <col min="14" max="14" width="10.8515625" style="0" bestFit="1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0039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443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 hidden="1">
      <c r="A7" t="s">
        <v>629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L7" s="18"/>
      <c r="M7" s="18"/>
      <c r="Q7" s="2"/>
      <c r="R7" s="2"/>
      <c r="T7" s="75"/>
    </row>
    <row r="8" spans="1:20" ht="12.75" hidden="1">
      <c r="A8" t="s">
        <v>455</v>
      </c>
      <c r="B8" s="4">
        <v>54.1003</v>
      </c>
      <c r="E8" s="2"/>
      <c r="F8" s="33"/>
      <c r="G8" s="33"/>
      <c r="H8" s="33"/>
      <c r="I8" s="33"/>
      <c r="J8" s="33"/>
      <c r="K8" s="33"/>
      <c r="L8" s="33"/>
      <c r="M8" s="33"/>
      <c r="Q8" s="2"/>
      <c r="R8" s="2"/>
      <c r="T8" s="75"/>
    </row>
    <row r="9" spans="1:20" ht="12.75" hidden="1">
      <c r="A9" t="s">
        <v>321</v>
      </c>
      <c r="B9" s="4">
        <v>54.1004</v>
      </c>
      <c r="D9" s="2"/>
      <c r="E9" s="2"/>
      <c r="F9" s="33"/>
      <c r="G9" s="33"/>
      <c r="H9" s="33">
        <v>9940</v>
      </c>
      <c r="I9" s="33"/>
      <c r="J9" s="33"/>
      <c r="K9" s="33"/>
      <c r="L9" s="33"/>
      <c r="M9" s="33"/>
      <c r="P9" s="62"/>
      <c r="Q9" s="2"/>
      <c r="R9" s="2"/>
      <c r="T9" s="75"/>
    </row>
    <row r="10" spans="1:20" ht="12.75" hidden="1">
      <c r="A10" t="s">
        <v>468</v>
      </c>
      <c r="B10" s="4"/>
      <c r="D10" s="2"/>
      <c r="E10" s="2"/>
      <c r="F10" s="33">
        <v>10000</v>
      </c>
      <c r="G10" s="33"/>
      <c r="H10" s="33"/>
      <c r="I10" s="33"/>
      <c r="J10" s="33"/>
      <c r="K10" s="33"/>
      <c r="L10" s="33"/>
      <c r="M10" s="33"/>
      <c r="P10" s="62"/>
      <c r="Q10" s="2"/>
      <c r="R10" s="2"/>
      <c r="T10" s="75"/>
    </row>
    <row r="11" spans="1:20" ht="12.75">
      <c r="A11" t="s">
        <v>578</v>
      </c>
      <c r="B11" s="4"/>
      <c r="D11" s="2"/>
      <c r="E11" s="2"/>
      <c r="F11" s="33"/>
      <c r="G11" s="33"/>
      <c r="H11" s="33"/>
      <c r="I11" s="33"/>
      <c r="J11" s="33"/>
      <c r="K11" s="33"/>
      <c r="L11" s="33">
        <v>6000</v>
      </c>
      <c r="M11" s="33"/>
      <c r="Q11" s="2"/>
      <c r="R11" s="2"/>
      <c r="S11" s="2"/>
      <c r="T11" s="75"/>
    </row>
    <row r="12" spans="1:20" ht="12.75">
      <c r="A12" t="s">
        <v>861</v>
      </c>
      <c r="B12" s="4"/>
      <c r="D12" s="2"/>
      <c r="E12" s="2"/>
      <c r="F12" s="33"/>
      <c r="G12" s="33"/>
      <c r="H12" s="33"/>
      <c r="I12" s="33"/>
      <c r="J12" s="33"/>
      <c r="K12" s="33"/>
      <c r="L12" s="33"/>
      <c r="M12" s="33"/>
      <c r="Q12" s="2"/>
      <c r="R12" s="2"/>
      <c r="S12" s="2"/>
      <c r="T12" s="75"/>
    </row>
    <row r="13" spans="1:20" ht="12.75">
      <c r="A13" t="s">
        <v>862</v>
      </c>
      <c r="B13" s="4"/>
      <c r="D13" s="2"/>
      <c r="E13" s="2"/>
      <c r="F13" s="33"/>
      <c r="G13" s="33"/>
      <c r="H13" s="33"/>
      <c r="I13" s="33"/>
      <c r="J13" s="33"/>
      <c r="K13" s="33"/>
      <c r="L13" s="33"/>
      <c r="M13" s="33"/>
      <c r="Q13" s="2"/>
      <c r="R13" s="2"/>
      <c r="S13" s="2"/>
      <c r="T13" s="75"/>
    </row>
    <row r="14" spans="2:20" ht="12.75">
      <c r="B14" s="4"/>
      <c r="D14" s="2"/>
      <c r="E14" s="2"/>
      <c r="F14" s="33"/>
      <c r="G14" s="33"/>
      <c r="H14" s="33"/>
      <c r="I14" s="33"/>
      <c r="J14" s="33"/>
      <c r="K14" s="33"/>
      <c r="L14" s="33"/>
      <c r="M14" s="33"/>
      <c r="Q14" s="2"/>
      <c r="R14" s="2"/>
      <c r="S14" s="2"/>
      <c r="T14" s="75"/>
    </row>
    <row r="15" spans="1:21" ht="12.75">
      <c r="A15" t="s">
        <v>285</v>
      </c>
      <c r="B15" s="4">
        <v>57.214</v>
      </c>
      <c r="C15" s="2">
        <v>10000</v>
      </c>
      <c r="D15" s="2">
        <v>34910</v>
      </c>
      <c r="E15" s="2">
        <v>10000</v>
      </c>
      <c r="F15" s="2">
        <v>10000</v>
      </c>
      <c r="G15" s="2">
        <v>4675</v>
      </c>
      <c r="H15" s="2">
        <v>2500</v>
      </c>
      <c r="I15" s="2"/>
      <c r="J15" s="2">
        <v>7250</v>
      </c>
      <c r="K15" s="2">
        <v>7250</v>
      </c>
      <c r="L15" s="2">
        <v>7250</v>
      </c>
      <c r="M15" s="2">
        <v>6199</v>
      </c>
      <c r="N15" s="2">
        <v>1750</v>
      </c>
      <c r="O15" s="2">
        <v>3500</v>
      </c>
      <c r="P15" s="19">
        <v>3500</v>
      </c>
      <c r="Q15" s="19">
        <v>3500</v>
      </c>
      <c r="R15" s="2">
        <v>3500</v>
      </c>
      <c r="S15" s="2">
        <v>3500</v>
      </c>
      <c r="T15" s="75"/>
      <c r="U15" t="s">
        <v>859</v>
      </c>
    </row>
    <row r="16" spans="2:20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5"/>
    </row>
    <row r="17" spans="2:20" ht="12.75">
      <c r="B17" s="4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5"/>
    </row>
    <row r="18" spans="1:20" ht="12.75">
      <c r="A18" s="6"/>
      <c r="B18" s="6"/>
      <c r="C18" s="7">
        <f>SUM(C7:C17)</f>
        <v>10000</v>
      </c>
      <c r="D18" s="8">
        <v>34910</v>
      </c>
      <c r="E18" s="8">
        <v>10000</v>
      </c>
      <c r="F18" s="8">
        <f>SUM(F7:F17)</f>
        <v>23363</v>
      </c>
      <c r="G18" s="8">
        <f>SUM(G7:G17)</f>
        <v>8175</v>
      </c>
      <c r="H18" s="8">
        <f>SUM(H7:H17)</f>
        <v>12440</v>
      </c>
      <c r="I18" s="8">
        <f>SUM(I7:I17)</f>
        <v>0</v>
      </c>
      <c r="J18" s="8">
        <v>7250</v>
      </c>
      <c r="K18" s="8">
        <f aca="true" t="shared" si="0" ref="K18:S18">SUM(K7:K17)</f>
        <v>7250</v>
      </c>
      <c r="L18" s="8">
        <v>13250</v>
      </c>
      <c r="M18" s="8">
        <v>6199</v>
      </c>
      <c r="N18" s="8">
        <f t="shared" si="0"/>
        <v>1750</v>
      </c>
      <c r="O18" s="8">
        <f t="shared" si="0"/>
        <v>3500</v>
      </c>
      <c r="P18" s="8">
        <f t="shared" si="0"/>
        <v>3500</v>
      </c>
      <c r="Q18" s="8">
        <f t="shared" si="0"/>
        <v>3500</v>
      </c>
      <c r="R18" s="8">
        <f t="shared" si="0"/>
        <v>3500</v>
      </c>
      <c r="S18" s="8">
        <f t="shared" si="0"/>
        <v>3500</v>
      </c>
      <c r="T18" s="49">
        <f>(S18-P18)/P18</f>
        <v>0</v>
      </c>
    </row>
    <row r="19" ht="12.75">
      <c r="T19" s="48"/>
    </row>
    <row r="20" spans="1:20" ht="12.75">
      <c r="A20" t="s">
        <v>535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0" t="s">
        <v>445</v>
      </c>
      <c r="Q20" s="20"/>
      <c r="R20" s="52">
        <f>Q18-R18</f>
        <v>0</v>
      </c>
      <c r="S20" s="6"/>
      <c r="T20" s="48"/>
    </row>
    <row r="21" spans="16:20" ht="12.75">
      <c r="P21" s="20" t="s">
        <v>668</v>
      </c>
      <c r="Q21" s="20"/>
      <c r="R21" s="52">
        <f>P18-R18</f>
        <v>0</v>
      </c>
      <c r="T21" s="48"/>
    </row>
    <row r="22" spans="1:22" ht="12.75">
      <c r="A22" t="s">
        <v>593</v>
      </c>
      <c r="P22" s="20" t="s">
        <v>397</v>
      </c>
      <c r="Q22" s="20"/>
      <c r="R22" s="52">
        <f>R18-S18</f>
        <v>0</v>
      </c>
      <c r="T22" s="48"/>
      <c r="V22" t="s">
        <v>601</v>
      </c>
    </row>
    <row r="23" spans="1:20" ht="12.75">
      <c r="A23" t="s">
        <v>860</v>
      </c>
      <c r="P23" s="20"/>
      <c r="Q23" s="20"/>
      <c r="R23" s="52"/>
      <c r="T23" s="48"/>
    </row>
    <row r="24" ht="12.75">
      <c r="T24" s="48"/>
    </row>
    <row r="25" spans="1:20" ht="12.75">
      <c r="A25" s="6"/>
      <c r="T25" s="48"/>
    </row>
    <row r="26" spans="1:20" ht="12.75">
      <c r="A26" s="6"/>
      <c r="T26" s="48"/>
    </row>
    <row r="27" spans="1:20" ht="12.75">
      <c r="A27" s="6"/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54" ht="12.75">
      <c r="T54" s="2"/>
    </row>
    <row r="55" ht="12.75">
      <c r="T55" s="2"/>
    </row>
    <row r="56" ht="12.75">
      <c r="T56" s="2"/>
    </row>
    <row r="57" ht="12.75">
      <c r="T57" s="2"/>
    </row>
    <row r="58" ht="12.75">
      <c r="T58" s="2"/>
    </row>
    <row r="59" ht="12.75">
      <c r="T59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V6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8.0039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444</v>
      </c>
      <c r="N3" s="53">
        <v>10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630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2"/>
      <c r="S7" s="2"/>
      <c r="T7" s="75" t="e">
        <f>(S7-P7)/P7</f>
        <v>#DIV/0!</v>
      </c>
    </row>
    <row r="8" spans="2:20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8"/>
    </row>
    <row r="9" spans="1:21" ht="12.75">
      <c r="A9" t="s">
        <v>362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>
        <v>100</v>
      </c>
      <c r="M9" s="2">
        <v>855</v>
      </c>
      <c r="N9" s="2">
        <v>0</v>
      </c>
      <c r="O9" s="2">
        <v>100</v>
      </c>
      <c r="P9" s="2">
        <v>100</v>
      </c>
      <c r="Q9" s="2">
        <v>7500</v>
      </c>
      <c r="R9" s="2">
        <v>100</v>
      </c>
      <c r="S9" s="2">
        <v>100</v>
      </c>
      <c r="T9" s="75">
        <f>(S9-P9)/P9</f>
        <v>0</v>
      </c>
      <c r="U9" t="s">
        <v>338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1:20" ht="12.75">
      <c r="A11" s="6" t="s">
        <v>91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S11">SUM(K7:K10)</f>
        <v>100</v>
      </c>
      <c r="L11" s="8">
        <v>100</v>
      </c>
      <c r="M11" s="8">
        <v>855</v>
      </c>
      <c r="N11" s="8">
        <f t="shared" si="0"/>
        <v>0</v>
      </c>
      <c r="O11" s="8">
        <f t="shared" si="0"/>
        <v>100</v>
      </c>
      <c r="P11" s="8">
        <f t="shared" si="0"/>
        <v>100</v>
      </c>
      <c r="Q11" s="8">
        <f t="shared" si="0"/>
        <v>7500</v>
      </c>
      <c r="R11" s="8">
        <f t="shared" si="0"/>
        <v>100</v>
      </c>
      <c r="S11" s="8">
        <f t="shared" si="0"/>
        <v>100</v>
      </c>
      <c r="T11" s="49">
        <f>(S11-P11)/P11</f>
        <v>0</v>
      </c>
    </row>
    <row r="12" ht="12.75">
      <c r="T12" s="48"/>
    </row>
    <row r="13" spans="16:20" ht="12.75">
      <c r="P13" s="20" t="s">
        <v>445</v>
      </c>
      <c r="Q13" s="20"/>
      <c r="R13" s="52">
        <f>Q11-R11</f>
        <v>7400</v>
      </c>
      <c r="T13" s="48"/>
    </row>
    <row r="14" spans="16:20" ht="12.75">
      <c r="P14" s="20" t="s">
        <v>668</v>
      </c>
      <c r="Q14" s="20"/>
      <c r="R14" s="52">
        <f>P11-R11</f>
        <v>0</v>
      </c>
      <c r="T14" s="48"/>
    </row>
    <row r="15" spans="16:20" ht="12.75">
      <c r="P15" s="20" t="s">
        <v>397</v>
      </c>
      <c r="Q15" s="20"/>
      <c r="R15" s="52">
        <f>R11-S11</f>
        <v>0</v>
      </c>
      <c r="T15" s="48"/>
    </row>
    <row r="16" spans="1:20" ht="12.75">
      <c r="A16" t="s">
        <v>16</v>
      </c>
      <c r="T16" s="48"/>
    </row>
    <row r="17" ht="12.75">
      <c r="T17" s="48"/>
    </row>
    <row r="18" ht="12.75">
      <c r="T18" s="48"/>
    </row>
    <row r="19" ht="12.75">
      <c r="T19" s="48"/>
    </row>
    <row r="20" spans="20:22" ht="12.75">
      <c r="T20" s="48"/>
      <c r="V20" t="s">
        <v>601</v>
      </c>
    </row>
    <row r="21" ht="12.75">
      <c r="T21" s="48"/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60" ht="12.75">
      <c r="T60" s="2"/>
    </row>
    <row r="61" ht="12.75">
      <c r="T61" s="2"/>
    </row>
    <row r="62" ht="12.75">
      <c r="T62" s="2"/>
    </row>
    <row r="63" ht="12.75">
      <c r="T63" s="2"/>
    </row>
    <row r="64" ht="12.75">
      <c r="T64" s="2"/>
    </row>
    <row r="65" ht="12.75">
      <c r="T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V6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4" width="6.421875" style="0" hidden="1" customWidth="1"/>
    <col min="5" max="5" width="0.5625" style="0" hidden="1" customWidth="1"/>
    <col min="6" max="6" width="6.421875" style="0" hidden="1" customWidth="1"/>
    <col min="7" max="10" width="8.00390625" style="0" hidden="1" customWidth="1"/>
    <col min="11" max="12" width="8.00390625" style="0" bestFit="1" customWidth="1"/>
    <col min="13" max="13" width="8.00390625" style="0" customWidth="1"/>
    <col min="14" max="15" width="7.57421875" style="0" bestFit="1" customWidth="1"/>
    <col min="16" max="16" width="8.140625" style="0" customWidth="1"/>
    <col min="17" max="17" width="8.421875" style="0" customWidth="1"/>
    <col min="18" max="18" width="11.00390625" style="0" bestFit="1" customWidth="1"/>
    <col min="19" max="19" width="8.00390625" style="0" bestFit="1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456</v>
      </c>
      <c r="N3" s="53">
        <v>6</v>
      </c>
      <c r="O3" s="9"/>
      <c r="T3" s="1" t="s">
        <v>399</v>
      </c>
    </row>
    <row r="4" spans="3:20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386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419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3.5" thickBot="1">
      <c r="A6" t="s">
        <v>93</v>
      </c>
      <c r="C6" s="1">
        <v>1999</v>
      </c>
      <c r="D6" s="58">
        <v>2000</v>
      </c>
      <c r="E6" s="58">
        <v>2001</v>
      </c>
      <c r="F6" s="58">
        <v>2002</v>
      </c>
      <c r="G6" s="58">
        <v>2003</v>
      </c>
      <c r="H6" s="58">
        <v>2004</v>
      </c>
      <c r="I6" s="58">
        <v>2005</v>
      </c>
      <c r="J6" s="58">
        <v>2006</v>
      </c>
      <c r="K6" s="58">
        <v>2007</v>
      </c>
      <c r="L6" s="58">
        <v>2008</v>
      </c>
      <c r="M6" s="58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9" t="s">
        <v>90</v>
      </c>
    </row>
    <row r="7" spans="1:20" ht="12.75">
      <c r="A7" t="s">
        <v>324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25000</v>
      </c>
      <c r="M7" s="2">
        <v>21375</v>
      </c>
      <c r="N7" s="2">
        <v>7500</v>
      </c>
      <c r="O7" s="2">
        <v>15000</v>
      </c>
      <c r="P7" s="2">
        <v>15000</v>
      </c>
      <c r="Q7" s="2">
        <v>18200</v>
      </c>
      <c r="R7" s="2">
        <v>15000</v>
      </c>
      <c r="S7" s="2">
        <v>12750</v>
      </c>
      <c r="T7" s="75">
        <f>(S7-P7)/P7</f>
        <v>-0.15</v>
      </c>
    </row>
    <row r="8" spans="1:20" ht="12.75">
      <c r="A8" t="s">
        <v>52</v>
      </c>
      <c r="B8" s="4"/>
      <c r="C8" s="2"/>
      <c r="D8" s="2"/>
      <c r="E8" s="2"/>
      <c r="F8" s="2"/>
      <c r="G8" s="2"/>
      <c r="H8" s="2"/>
      <c r="I8" s="2"/>
      <c r="J8" s="2"/>
      <c r="K8" s="2"/>
      <c r="L8" s="2">
        <v>1884</v>
      </c>
      <c r="M8" s="2">
        <v>1532</v>
      </c>
      <c r="N8" s="2"/>
      <c r="O8" s="2"/>
      <c r="P8" s="2"/>
      <c r="Q8" s="2"/>
      <c r="R8" s="2"/>
      <c r="S8" s="2"/>
      <c r="T8" s="75"/>
    </row>
    <row r="9" spans="1:20" ht="12.75">
      <c r="A9" t="s">
        <v>842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8"/>
    </row>
    <row r="10" spans="1:20" ht="12.75">
      <c r="A10" s="6" t="s">
        <v>91</v>
      </c>
      <c r="B10" s="6"/>
      <c r="C10" s="8" t="e">
        <f>SUM(#REF!)</f>
        <v>#REF!</v>
      </c>
      <c r="D10" s="8"/>
      <c r="E10" s="8">
        <f>SUM(E7:E9)</f>
        <v>0</v>
      </c>
      <c r="F10" s="8">
        <f>SUM(F7:F9)</f>
        <v>0</v>
      </c>
      <c r="G10" s="8">
        <f>SUM(G7:G9)</f>
        <v>25000</v>
      </c>
      <c r="H10" s="8">
        <f>SUM(H7:H9)</f>
        <v>20000</v>
      </c>
      <c r="I10" s="8">
        <f>SUM(I7:I9)</f>
        <v>20000</v>
      </c>
      <c r="J10" s="8">
        <v>20000</v>
      </c>
      <c r="K10" s="8">
        <f aca="true" t="shared" si="0" ref="K10:S10">SUM(K7:K9)</f>
        <v>25000</v>
      </c>
      <c r="L10" s="8">
        <v>26884</v>
      </c>
      <c r="M10" s="8">
        <v>22907</v>
      </c>
      <c r="N10" s="8">
        <f t="shared" si="0"/>
        <v>7500</v>
      </c>
      <c r="O10" s="8">
        <f t="shared" si="0"/>
        <v>15000</v>
      </c>
      <c r="P10" s="8">
        <f t="shared" si="0"/>
        <v>15000</v>
      </c>
      <c r="Q10" s="8">
        <f t="shared" si="0"/>
        <v>18200</v>
      </c>
      <c r="R10" s="8">
        <f t="shared" si="0"/>
        <v>15000</v>
      </c>
      <c r="S10" s="8">
        <f t="shared" si="0"/>
        <v>12750</v>
      </c>
      <c r="T10" s="49">
        <f>(S10-P10)/P10</f>
        <v>-0.15</v>
      </c>
    </row>
    <row r="11" ht="12.75">
      <c r="T11" s="48"/>
    </row>
    <row r="12" spans="16:20" ht="12.75">
      <c r="P12" s="20" t="s">
        <v>445</v>
      </c>
      <c r="Q12" s="20"/>
      <c r="R12" s="52">
        <f>Q10-R10</f>
        <v>3200</v>
      </c>
      <c r="T12" s="48"/>
    </row>
    <row r="13" spans="16:20" ht="12.75">
      <c r="P13" s="20" t="s">
        <v>668</v>
      </c>
      <c r="Q13" s="20"/>
      <c r="R13" s="52">
        <f>P10-R10</f>
        <v>0</v>
      </c>
      <c r="T13" s="48"/>
    </row>
    <row r="14" spans="16:20" ht="12.75">
      <c r="P14" s="20" t="s">
        <v>397</v>
      </c>
      <c r="Q14" s="20"/>
      <c r="R14" s="52">
        <f>R10-S10</f>
        <v>2250</v>
      </c>
      <c r="T14" s="48"/>
    </row>
    <row r="15" ht="12.75">
      <c r="T15" s="48"/>
    </row>
    <row r="16" spans="1:20" ht="12.75">
      <c r="A16" s="6"/>
      <c r="T16" s="48"/>
    </row>
    <row r="17" spans="1:20" ht="12.75">
      <c r="A17" s="6"/>
      <c r="T17" s="48"/>
    </row>
    <row r="18" ht="12.75">
      <c r="T18" s="48"/>
    </row>
    <row r="19" spans="1:20" ht="12.75">
      <c r="A19" s="6"/>
      <c r="T19" s="48"/>
    </row>
    <row r="20" ht="12.75">
      <c r="T20" s="48"/>
    </row>
    <row r="21" spans="20:22" ht="12.75">
      <c r="T21" s="48"/>
      <c r="V21" t="s">
        <v>601</v>
      </c>
    </row>
    <row r="22" ht="12.75">
      <c r="T22" s="48"/>
    </row>
    <row r="23" ht="12.75">
      <c r="T23" s="48"/>
    </row>
    <row r="24" ht="12.75">
      <c r="T24" s="48"/>
    </row>
    <row r="25" ht="12.75">
      <c r="T25" s="48"/>
    </row>
    <row r="26" ht="12.75">
      <c r="T26" s="48"/>
    </row>
    <row r="27" ht="12.75">
      <c r="T27" s="48"/>
    </row>
    <row r="28" ht="12.75">
      <c r="T28" s="48"/>
    </row>
    <row r="29" ht="12.75">
      <c r="T29" s="48"/>
    </row>
    <row r="30" ht="12.75">
      <c r="T30" s="48"/>
    </row>
    <row r="31" ht="12.75">
      <c r="T31" s="48"/>
    </row>
    <row r="32" ht="12.75">
      <c r="T32" s="48"/>
    </row>
    <row r="33" ht="12.75">
      <c r="T33" s="48"/>
    </row>
    <row r="34" ht="12.75">
      <c r="T34" s="48"/>
    </row>
    <row r="35" ht="12.75">
      <c r="T35" s="48"/>
    </row>
    <row r="36" ht="12.75">
      <c r="T36" s="48"/>
    </row>
    <row r="37" ht="12.75">
      <c r="T37" s="48"/>
    </row>
    <row r="38" ht="12.75">
      <c r="T38" s="48"/>
    </row>
    <row r="39" ht="12.75">
      <c r="T39" s="48"/>
    </row>
    <row r="40" ht="12.75">
      <c r="T40" s="48"/>
    </row>
    <row r="41" ht="12.75">
      <c r="T41" s="48"/>
    </row>
    <row r="42" ht="12.75">
      <c r="T42" s="48"/>
    </row>
    <row r="43" ht="12.75">
      <c r="T43" s="48"/>
    </row>
    <row r="44" ht="12.75">
      <c r="T44" s="48"/>
    </row>
    <row r="45" ht="12.75">
      <c r="T45" s="48"/>
    </row>
    <row r="46" ht="12.75">
      <c r="T46" s="48"/>
    </row>
    <row r="47" ht="12.75">
      <c r="T47" s="48"/>
    </row>
    <row r="48" ht="12.75">
      <c r="T48" s="48"/>
    </row>
    <row r="49" ht="12.75">
      <c r="T49" s="48"/>
    </row>
    <row r="50" ht="12.75">
      <c r="T50" s="48"/>
    </row>
    <row r="51" ht="12.75">
      <c r="T51" s="48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4" ht="12.75">
      <c r="T64" s="2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</sheetData>
  <printOptions gridLines="1"/>
  <pageMargins left="0.25" right="0.25" top="1" bottom="0.55" header="0.5" footer="0.25"/>
  <pageSetup fitToHeight="1" fitToWidth="1" horizontalDpi="300" verticalDpi="300" orientation="landscape" scale="92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67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20" customWidth="1"/>
    <col min="2" max="2" width="7.421875" style="20" bestFit="1" customWidth="1"/>
    <col min="3" max="3" width="11.57421875" style="20" hidden="1" customWidth="1"/>
    <col min="4" max="4" width="8.7109375" style="20" hidden="1" customWidth="1"/>
    <col min="5" max="10" width="9.140625" style="20" hidden="1" customWidth="1"/>
    <col min="11" max="13" width="9.140625" style="20" customWidth="1"/>
    <col min="14" max="15" width="9.140625" style="20" bestFit="1" customWidth="1"/>
    <col min="16" max="16" width="11.00390625" style="20" customWidth="1"/>
    <col min="17" max="17" width="10.28125" style="20" customWidth="1"/>
    <col min="18" max="18" width="10.28125" style="20" bestFit="1" customWidth="1"/>
    <col min="19" max="20" width="10.140625" style="20" bestFit="1" customWidth="1"/>
    <col min="21" max="21" width="11.7109375" style="20" customWidth="1"/>
    <col min="22" max="16384" width="9.140625" style="20" customWidth="1"/>
  </cols>
  <sheetData>
    <row r="1" ht="12.75">
      <c r="A1" s="20" t="s">
        <v>81</v>
      </c>
    </row>
    <row r="2" ht="12.75">
      <c r="A2" s="20" t="s">
        <v>82</v>
      </c>
    </row>
    <row r="3" spans="1:20" ht="12.75">
      <c r="A3" s="42" t="s">
        <v>381</v>
      </c>
      <c r="F3" s="24"/>
      <c r="G3" s="24"/>
      <c r="H3" s="24"/>
      <c r="I3" s="24"/>
      <c r="J3" s="24"/>
      <c r="K3" s="24"/>
      <c r="L3" s="24"/>
      <c r="M3" s="24"/>
      <c r="N3" s="47">
        <v>6</v>
      </c>
      <c r="T3" s="24" t="s">
        <v>316</v>
      </c>
    </row>
    <row r="4" spans="3:20" ht="12.75">
      <c r="C4" s="24" t="s">
        <v>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395</v>
      </c>
      <c r="P4" s="24"/>
      <c r="Q4" s="24" t="s">
        <v>390</v>
      </c>
      <c r="R4" s="24" t="s">
        <v>392</v>
      </c>
      <c r="S4" s="24" t="s">
        <v>393</v>
      </c>
      <c r="T4" s="24" t="s">
        <v>387</v>
      </c>
    </row>
    <row r="5" spans="3:20" ht="12.75">
      <c r="C5" s="24" t="s">
        <v>84</v>
      </c>
      <c r="D5" s="24" t="s">
        <v>386</v>
      </c>
      <c r="E5" s="24" t="s">
        <v>386</v>
      </c>
      <c r="F5" s="24" t="s">
        <v>386</v>
      </c>
      <c r="G5" s="24" t="s">
        <v>386</v>
      </c>
      <c r="H5" s="24" t="s">
        <v>386</v>
      </c>
      <c r="I5" s="24" t="s">
        <v>386</v>
      </c>
      <c r="J5" s="24" t="s">
        <v>386</v>
      </c>
      <c r="K5" s="24" t="s">
        <v>386</v>
      </c>
      <c r="L5" s="24" t="s">
        <v>386</v>
      </c>
      <c r="M5" s="24" t="s">
        <v>386</v>
      </c>
      <c r="N5" s="24" t="s">
        <v>386</v>
      </c>
      <c r="O5" s="24" t="s">
        <v>396</v>
      </c>
      <c r="P5" s="24" t="s">
        <v>316</v>
      </c>
      <c r="Q5" s="24" t="s">
        <v>391</v>
      </c>
      <c r="R5" s="24" t="s">
        <v>609</v>
      </c>
      <c r="S5" s="24" t="s">
        <v>382</v>
      </c>
      <c r="T5" s="24" t="s">
        <v>388</v>
      </c>
    </row>
    <row r="6" spans="1:21" ht="12.75">
      <c r="A6" s="20" t="s">
        <v>93</v>
      </c>
      <c r="C6" s="24">
        <v>1999</v>
      </c>
      <c r="D6" s="21">
        <v>2000</v>
      </c>
      <c r="E6" s="21">
        <v>2001</v>
      </c>
      <c r="F6" s="21">
        <v>2002</v>
      </c>
      <c r="G6" s="21">
        <v>2003</v>
      </c>
      <c r="H6" s="21">
        <v>2004</v>
      </c>
      <c r="I6" s="21">
        <v>2005</v>
      </c>
      <c r="J6" s="21">
        <v>2006</v>
      </c>
      <c r="K6" s="21">
        <v>2007</v>
      </c>
      <c r="L6" s="21">
        <v>2008</v>
      </c>
      <c r="M6" s="21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21" t="s">
        <v>90</v>
      </c>
    </row>
    <row r="7" spans="1:21" ht="12.75">
      <c r="A7" s="20" t="s">
        <v>604</v>
      </c>
      <c r="B7" s="45">
        <v>51.11</v>
      </c>
      <c r="C7" s="28">
        <v>126879</v>
      </c>
      <c r="D7" s="28">
        <v>142598</v>
      </c>
      <c r="E7" s="28">
        <v>147945</v>
      </c>
      <c r="F7" s="28">
        <v>170007</v>
      </c>
      <c r="G7" s="28">
        <v>162379</v>
      </c>
      <c r="H7" s="28">
        <v>202862</v>
      </c>
      <c r="I7" s="28">
        <v>217388</v>
      </c>
      <c r="J7" s="28">
        <v>210122</v>
      </c>
      <c r="K7" s="28">
        <v>245926</v>
      </c>
      <c r="L7" s="28">
        <v>262445.16</v>
      </c>
      <c r="M7" s="28">
        <v>268251</v>
      </c>
      <c r="N7" s="2">
        <v>125137</v>
      </c>
      <c r="O7" s="28">
        <f aca="true" t="shared" si="0" ref="O7:O34">(12/$N$3)*N7</f>
        <v>250274</v>
      </c>
      <c r="P7" s="28">
        <v>276786</v>
      </c>
      <c r="Q7" s="28">
        <v>276527.88</v>
      </c>
      <c r="R7" s="28">
        <v>276527.88</v>
      </c>
      <c r="S7" s="28">
        <v>276527.88</v>
      </c>
      <c r="T7" s="48">
        <f aca="true" t="shared" si="1" ref="T7:T12">(S7-P7)/P7</f>
        <v>-0.0009325616180008937</v>
      </c>
      <c r="U7" s="20" t="s">
        <v>956</v>
      </c>
    </row>
    <row r="8" spans="1:20" ht="12.75">
      <c r="A8" s="20" t="s">
        <v>66</v>
      </c>
      <c r="B8" s="45">
        <v>51.1105</v>
      </c>
      <c r="C8" s="28"/>
      <c r="D8" s="28"/>
      <c r="E8" s="28"/>
      <c r="F8" s="28"/>
      <c r="G8" s="28">
        <v>2888</v>
      </c>
      <c r="H8" s="28">
        <v>2689</v>
      </c>
      <c r="I8" s="28">
        <v>4897</v>
      </c>
      <c r="J8" s="28">
        <v>7623</v>
      </c>
      <c r="K8" s="28">
        <v>11317</v>
      </c>
      <c r="L8" s="28">
        <v>11998</v>
      </c>
      <c r="M8" s="28">
        <v>6941</v>
      </c>
      <c r="N8" s="2">
        <v>0</v>
      </c>
      <c r="O8" s="28">
        <f t="shared" si="0"/>
        <v>0</v>
      </c>
      <c r="P8" s="28">
        <v>8657</v>
      </c>
      <c r="Q8" s="28"/>
      <c r="R8" s="28"/>
      <c r="S8" s="28"/>
      <c r="T8" s="48">
        <f t="shared" si="1"/>
        <v>-1</v>
      </c>
    </row>
    <row r="9" spans="1:20" ht="12.75">
      <c r="A9" s="20" t="s">
        <v>126</v>
      </c>
      <c r="B9" s="45">
        <v>51.13</v>
      </c>
      <c r="C9" s="28">
        <v>887</v>
      </c>
      <c r="D9" s="28">
        <v>1056</v>
      </c>
      <c r="E9" s="28">
        <v>1746</v>
      </c>
      <c r="F9" s="28">
        <v>2292</v>
      </c>
      <c r="G9" s="28">
        <v>1633</v>
      </c>
      <c r="H9" s="28">
        <v>3376</v>
      </c>
      <c r="I9" s="28">
        <v>1847</v>
      </c>
      <c r="J9" s="28">
        <v>2429</v>
      </c>
      <c r="K9" s="28">
        <v>2291</v>
      </c>
      <c r="L9" s="28">
        <v>1968</v>
      </c>
      <c r="M9" s="28"/>
      <c r="N9" s="2"/>
      <c r="O9" s="28"/>
      <c r="P9" s="28"/>
      <c r="Q9" s="28"/>
      <c r="R9" s="28"/>
      <c r="S9" s="28"/>
      <c r="T9" s="48" t="e">
        <f t="shared" si="1"/>
        <v>#DIV/0!</v>
      </c>
    </row>
    <row r="10" spans="1:20" ht="12.75">
      <c r="A10" s="20" t="s">
        <v>133</v>
      </c>
      <c r="B10" s="45">
        <v>51.21</v>
      </c>
      <c r="C10" s="28">
        <v>5149</v>
      </c>
      <c r="D10" s="28">
        <v>5031</v>
      </c>
      <c r="E10" s="28">
        <v>6372</v>
      </c>
      <c r="F10" s="28">
        <v>5679</v>
      </c>
      <c r="G10" s="28">
        <v>6695</v>
      </c>
      <c r="H10" s="28">
        <v>12525</v>
      </c>
      <c r="I10" s="28">
        <v>12607</v>
      </c>
      <c r="J10" s="28">
        <v>11673</v>
      </c>
      <c r="K10" s="28">
        <v>16044</v>
      </c>
      <c r="L10" s="28">
        <v>17323</v>
      </c>
      <c r="M10" s="28">
        <v>18103</v>
      </c>
      <c r="N10" s="2">
        <v>6826</v>
      </c>
      <c r="O10" s="28">
        <f>(12/$N$3)*N10</f>
        <v>13652</v>
      </c>
      <c r="P10" s="28">
        <v>19680</v>
      </c>
      <c r="Q10" s="28">
        <v>19840</v>
      </c>
      <c r="R10" s="28">
        <v>19840</v>
      </c>
      <c r="S10" s="28">
        <v>19840</v>
      </c>
      <c r="T10" s="48">
        <f t="shared" si="1"/>
        <v>0.008130081300813009</v>
      </c>
    </row>
    <row r="11" spans="1:20" ht="12.75">
      <c r="A11" s="20" t="s">
        <v>113</v>
      </c>
      <c r="B11" s="45">
        <v>51.22</v>
      </c>
      <c r="C11" s="28">
        <v>9924</v>
      </c>
      <c r="D11" s="28">
        <v>10989</v>
      </c>
      <c r="E11" s="28">
        <v>11450</v>
      </c>
      <c r="F11" s="28">
        <v>13340</v>
      </c>
      <c r="G11" s="28">
        <v>12520</v>
      </c>
      <c r="H11" s="28">
        <v>15204</v>
      </c>
      <c r="I11" s="28">
        <v>16053</v>
      </c>
      <c r="J11" s="28">
        <v>16437</v>
      </c>
      <c r="K11" s="28">
        <v>19332</v>
      </c>
      <c r="L11" s="28">
        <v>20578.21</v>
      </c>
      <c r="M11" s="28">
        <v>20313</v>
      </c>
      <c r="N11" s="2">
        <v>9272</v>
      </c>
      <c r="O11" s="28">
        <f>(O7+O8+O9)*0.0765</f>
        <v>19145.961</v>
      </c>
      <c r="P11" s="28">
        <v>21836.3895</v>
      </c>
      <c r="Q11" s="28">
        <f>(Q7+Q8+Q9)*0.0765</f>
        <v>21154.38282</v>
      </c>
      <c r="R11" s="28">
        <f>(R7+R8+R9)*0.0765</f>
        <v>21154.38282</v>
      </c>
      <c r="S11" s="28">
        <f>(S7+S8+S9)*0.0765</f>
        <v>21154.38282</v>
      </c>
      <c r="T11" s="48">
        <f t="shared" si="1"/>
        <v>-0.031232575330276197</v>
      </c>
    </row>
    <row r="12" spans="1:20" ht="12.75">
      <c r="A12" s="20" t="s">
        <v>127</v>
      </c>
      <c r="B12" s="45">
        <v>51.24</v>
      </c>
      <c r="C12" s="28">
        <v>2036</v>
      </c>
      <c r="D12" s="28">
        <v>2072</v>
      </c>
      <c r="E12" s="28">
        <v>2674</v>
      </c>
      <c r="F12" s="28">
        <v>3855</v>
      </c>
      <c r="G12" s="28">
        <v>5444</v>
      </c>
      <c r="H12" s="28">
        <v>2248</v>
      </c>
      <c r="I12" s="28">
        <v>6368</v>
      </c>
      <c r="J12" s="28">
        <v>2910</v>
      </c>
      <c r="K12" s="28">
        <v>21454</v>
      </c>
      <c r="L12" s="28">
        <v>15228</v>
      </c>
      <c r="M12" s="28">
        <v>12360</v>
      </c>
      <c r="N12" s="2">
        <v>8341</v>
      </c>
      <c r="O12" s="28">
        <f>(12/$N$3)*N12</f>
        <v>16682</v>
      </c>
      <c r="P12" s="28">
        <v>17100</v>
      </c>
      <c r="Q12" s="141">
        <v>18000</v>
      </c>
      <c r="R12" s="28">
        <v>18000</v>
      </c>
      <c r="S12" s="28">
        <v>18000</v>
      </c>
      <c r="T12" s="48">
        <f t="shared" si="1"/>
        <v>0.05263157894736842</v>
      </c>
    </row>
    <row r="13" spans="2:21" ht="12.75">
      <c r="B13" s="4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48"/>
      <c r="U13" s="28"/>
    </row>
    <row r="14" spans="1:20" ht="12.75">
      <c r="A14" s="20" t="s">
        <v>516</v>
      </c>
      <c r="B14" s="45">
        <v>52.1211</v>
      </c>
      <c r="C14" s="28"/>
      <c r="D14" s="28"/>
      <c r="E14" s="28"/>
      <c r="F14" s="28"/>
      <c r="G14" s="28"/>
      <c r="H14" s="28"/>
      <c r="I14" s="28"/>
      <c r="J14" s="28"/>
      <c r="K14" s="28">
        <v>1005</v>
      </c>
      <c r="L14" s="28"/>
      <c r="M14" s="28"/>
      <c r="N14" s="28"/>
      <c r="O14" s="28"/>
      <c r="P14" s="28"/>
      <c r="Q14" s="28"/>
      <c r="R14" s="28"/>
      <c r="S14" s="28"/>
      <c r="T14" s="48"/>
    </row>
    <row r="15" spans="1:20" ht="12.75" hidden="1">
      <c r="A15" s="20" t="s">
        <v>562</v>
      </c>
      <c r="B15" s="45">
        <v>52.122</v>
      </c>
      <c r="C15" s="28"/>
      <c r="D15" s="28"/>
      <c r="E15" s="28"/>
      <c r="F15" s="28"/>
      <c r="G15" s="28"/>
      <c r="H15" s="28"/>
      <c r="I15" s="28">
        <v>18445</v>
      </c>
      <c r="J15" s="28">
        <v>6956</v>
      </c>
      <c r="K15" s="28"/>
      <c r="L15" s="28"/>
      <c r="M15" s="28"/>
      <c r="N15" s="28"/>
      <c r="O15" s="28"/>
      <c r="P15" s="28"/>
      <c r="Q15" s="28"/>
      <c r="R15" s="28"/>
      <c r="S15" s="28"/>
      <c r="T15" s="48"/>
    </row>
    <row r="16" spans="1:20" ht="12.75" hidden="1">
      <c r="A16" s="20" t="s">
        <v>329</v>
      </c>
      <c r="B16" s="45">
        <v>52.1305</v>
      </c>
      <c r="C16" s="28"/>
      <c r="D16" s="28"/>
      <c r="E16" s="28"/>
      <c r="F16" s="28">
        <v>114</v>
      </c>
      <c r="G16" s="28"/>
      <c r="H16" s="28"/>
      <c r="I16" s="28"/>
      <c r="J16" s="28"/>
      <c r="K16" s="28"/>
      <c r="L16" s="28"/>
      <c r="M16" s="28"/>
      <c r="N16" s="28"/>
      <c r="O16" s="28">
        <f t="shared" si="0"/>
        <v>0</v>
      </c>
      <c r="P16" s="28"/>
      <c r="Q16" s="28"/>
      <c r="R16" s="28"/>
      <c r="S16" s="28"/>
      <c r="T16" s="48"/>
    </row>
    <row r="17" spans="1:20" ht="12.75" hidden="1">
      <c r="A17" s="20" t="s">
        <v>340</v>
      </c>
      <c r="B17" s="45">
        <v>52.131</v>
      </c>
      <c r="C17" s="28"/>
      <c r="D17" s="28"/>
      <c r="E17" s="28">
        <v>1670</v>
      </c>
      <c r="F17" s="28"/>
      <c r="G17" s="28">
        <v>1500</v>
      </c>
      <c r="H17" s="28"/>
      <c r="I17" s="28"/>
      <c r="J17" s="28"/>
      <c r="K17" s="28"/>
      <c r="L17" s="28"/>
      <c r="M17" s="28"/>
      <c r="N17" s="28"/>
      <c r="O17" s="28">
        <f t="shared" si="0"/>
        <v>0</v>
      </c>
      <c r="P17" s="28"/>
      <c r="Q17" s="28"/>
      <c r="R17" s="28"/>
      <c r="S17" s="28"/>
      <c r="T17" s="48"/>
    </row>
    <row r="18" spans="2:20" ht="12.75" hidden="1">
      <c r="B18" s="45">
        <v>52.1319</v>
      </c>
      <c r="C18" s="28"/>
      <c r="D18" s="28"/>
      <c r="E18" s="28"/>
      <c r="F18" s="28"/>
      <c r="G18" s="28">
        <v>395</v>
      </c>
      <c r="H18" s="28"/>
      <c r="I18" s="28"/>
      <c r="J18" s="28">
        <v>171</v>
      </c>
      <c r="K18" s="28"/>
      <c r="L18" s="28"/>
      <c r="M18" s="28"/>
      <c r="N18" s="28"/>
      <c r="O18" s="28"/>
      <c r="P18" s="28"/>
      <c r="Q18" s="28"/>
      <c r="R18" s="28"/>
      <c r="S18" s="28"/>
      <c r="T18" s="48"/>
    </row>
    <row r="19" spans="1:21" ht="12.75">
      <c r="A19" s="20" t="s">
        <v>115</v>
      </c>
      <c r="B19" s="45">
        <v>52.32</v>
      </c>
      <c r="C19" s="28">
        <v>15200</v>
      </c>
      <c r="D19" s="28">
        <v>17341</v>
      </c>
      <c r="E19" s="28">
        <v>15986</v>
      </c>
      <c r="F19" s="28">
        <v>16288</v>
      </c>
      <c r="G19" s="28">
        <v>13454</v>
      </c>
      <c r="H19" s="28">
        <v>8232</v>
      </c>
      <c r="I19" s="28">
        <v>8100</v>
      </c>
      <c r="J19" s="28">
        <v>8600</v>
      </c>
      <c r="K19" s="28">
        <v>9131</v>
      </c>
      <c r="L19" s="28">
        <v>9064</v>
      </c>
      <c r="M19" s="28">
        <v>8815</v>
      </c>
      <c r="N19" s="2">
        <v>5017</v>
      </c>
      <c r="O19" s="28">
        <f t="shared" si="0"/>
        <v>10034</v>
      </c>
      <c r="P19" s="28">
        <v>9000</v>
      </c>
      <c r="Q19" s="28">
        <v>2400</v>
      </c>
      <c r="R19" s="28">
        <v>2400</v>
      </c>
      <c r="S19" s="28">
        <v>2400</v>
      </c>
      <c r="T19" s="48">
        <f>(S19-P19)/P19</f>
        <v>-0.7333333333333333</v>
      </c>
      <c r="U19" s="20" t="s">
        <v>463</v>
      </c>
    </row>
    <row r="20" spans="1:20" ht="12.75">
      <c r="A20" s="20" t="s">
        <v>116</v>
      </c>
      <c r="B20" s="45">
        <v>52.321</v>
      </c>
      <c r="C20" s="28">
        <v>1416</v>
      </c>
      <c r="D20" s="28">
        <v>1766</v>
      </c>
      <c r="E20" s="28">
        <v>2778</v>
      </c>
      <c r="F20" s="28">
        <v>1501</v>
      </c>
      <c r="G20" s="28">
        <v>1143</v>
      </c>
      <c r="H20" s="28">
        <v>112</v>
      </c>
      <c r="I20" s="28">
        <v>636</v>
      </c>
      <c r="J20" s="28">
        <v>491</v>
      </c>
      <c r="K20" s="28">
        <f>196+43</f>
        <v>239</v>
      </c>
      <c r="L20" s="28">
        <v>401</v>
      </c>
      <c r="M20" s="28">
        <v>422</v>
      </c>
      <c r="N20" s="2">
        <v>3</v>
      </c>
      <c r="O20" s="28">
        <f t="shared" si="0"/>
        <v>6</v>
      </c>
      <c r="P20" s="28">
        <v>800</v>
      </c>
      <c r="Q20" s="28">
        <v>400</v>
      </c>
      <c r="R20" s="28">
        <v>400</v>
      </c>
      <c r="S20" s="28">
        <v>400</v>
      </c>
      <c r="T20" s="48">
        <f>(S20-P20)/P20</f>
        <v>-0.5</v>
      </c>
    </row>
    <row r="21" spans="1:20" ht="11.25" customHeight="1">
      <c r="A21" s="20" t="s">
        <v>128</v>
      </c>
      <c r="B21" s="45">
        <v>52.35</v>
      </c>
      <c r="C21" s="28">
        <v>6411</v>
      </c>
      <c r="D21" s="28">
        <v>7764</v>
      </c>
      <c r="E21" s="28">
        <v>3673</v>
      </c>
      <c r="F21" s="28">
        <v>2980</v>
      </c>
      <c r="G21" s="28">
        <v>1132</v>
      </c>
      <c r="H21" s="28">
        <v>4105</v>
      </c>
      <c r="I21" s="28">
        <v>2182</v>
      </c>
      <c r="J21" s="28">
        <v>2838</v>
      </c>
      <c r="K21" s="28">
        <v>2583</v>
      </c>
      <c r="L21" s="28">
        <v>2498</v>
      </c>
      <c r="M21" s="28">
        <v>1766</v>
      </c>
      <c r="N21" s="2">
        <v>617</v>
      </c>
      <c r="O21" s="28">
        <f t="shared" si="0"/>
        <v>1234</v>
      </c>
      <c r="P21" s="28">
        <v>3000</v>
      </c>
      <c r="Q21" s="28">
        <v>2000</v>
      </c>
      <c r="R21" s="28">
        <v>2000</v>
      </c>
      <c r="S21" s="28">
        <v>2000</v>
      </c>
      <c r="T21" s="48">
        <f>(S21-P21)/P21</f>
        <v>-0.3333333333333333</v>
      </c>
    </row>
    <row r="22" spans="1:20" ht="12.75" hidden="1">
      <c r="A22" s="20" t="s">
        <v>118</v>
      </c>
      <c r="B22" s="45">
        <v>52.3602</v>
      </c>
      <c r="C22" s="28">
        <v>30</v>
      </c>
      <c r="D22" s="28">
        <v>145</v>
      </c>
      <c r="E22" s="28">
        <v>130</v>
      </c>
      <c r="F22" s="28">
        <v>170</v>
      </c>
      <c r="G22" s="28">
        <v>50</v>
      </c>
      <c r="H22" s="28"/>
      <c r="I22" s="28"/>
      <c r="J22" s="28"/>
      <c r="K22" s="28"/>
      <c r="L22" s="28"/>
      <c r="M22" s="28"/>
      <c r="N22" s="28"/>
      <c r="O22" s="28">
        <f t="shared" si="0"/>
        <v>0</v>
      </c>
      <c r="P22" s="28"/>
      <c r="Q22" s="28"/>
      <c r="R22" s="28"/>
      <c r="S22" s="28"/>
      <c r="T22" s="48"/>
    </row>
    <row r="23" spans="1:20" ht="12.75">
      <c r="A23" s="20" t="s">
        <v>129</v>
      </c>
      <c r="B23" s="45">
        <v>52.37</v>
      </c>
      <c r="C23" s="28"/>
      <c r="D23" s="28"/>
      <c r="E23" s="28">
        <v>3484</v>
      </c>
      <c r="F23" s="28">
        <v>2170</v>
      </c>
      <c r="G23" s="28">
        <v>1939</v>
      </c>
      <c r="H23" s="28">
        <v>4285</v>
      </c>
      <c r="I23" s="28"/>
      <c r="J23" s="28">
        <v>2240</v>
      </c>
      <c r="K23" s="28">
        <v>3075</v>
      </c>
      <c r="L23" s="28">
        <v>2318</v>
      </c>
      <c r="M23" s="28">
        <v>1305</v>
      </c>
      <c r="N23" s="2">
        <v>280</v>
      </c>
      <c r="O23" s="28">
        <f t="shared" si="0"/>
        <v>560</v>
      </c>
      <c r="P23" s="28">
        <v>2500</v>
      </c>
      <c r="Q23" s="28">
        <v>1500</v>
      </c>
      <c r="R23" s="28">
        <v>1500</v>
      </c>
      <c r="S23" s="28">
        <v>1500</v>
      </c>
      <c r="T23" s="48"/>
    </row>
    <row r="24" spans="1:20" ht="12.75">
      <c r="A24" s="20" t="s">
        <v>563</v>
      </c>
      <c r="B24" s="45">
        <v>53.1323</v>
      </c>
      <c r="C24" s="28"/>
      <c r="D24" s="28"/>
      <c r="E24" s="28"/>
      <c r="F24" s="28"/>
      <c r="G24" s="28"/>
      <c r="H24" s="28"/>
      <c r="I24" s="28">
        <v>1184</v>
      </c>
      <c r="J24" s="28">
        <v>700</v>
      </c>
      <c r="K24" s="28"/>
      <c r="L24" s="28">
        <v>15</v>
      </c>
      <c r="M24" s="28"/>
      <c r="N24" s="28"/>
      <c r="O24" s="28"/>
      <c r="P24" s="28"/>
      <c r="Q24" s="28"/>
      <c r="R24" s="28"/>
      <c r="S24" s="28"/>
      <c r="T24" s="48"/>
    </row>
    <row r="25" spans="2:20" ht="12.75">
      <c r="B25" s="4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48"/>
    </row>
    <row r="26" spans="1:20" ht="12.75" hidden="1">
      <c r="A26" s="20" t="s">
        <v>343</v>
      </c>
      <c r="B26" s="45">
        <v>53.1704</v>
      </c>
      <c r="C26" s="28"/>
      <c r="D26" s="28"/>
      <c r="E26" s="28">
        <v>38</v>
      </c>
      <c r="F26" s="28"/>
      <c r="G26" s="28"/>
      <c r="H26" s="28">
        <v>31</v>
      </c>
      <c r="I26" s="28">
        <v>8</v>
      </c>
      <c r="J26" s="28"/>
      <c r="K26" s="28"/>
      <c r="L26" s="28"/>
      <c r="M26" s="28"/>
      <c r="N26" s="28"/>
      <c r="O26" s="28">
        <f t="shared" si="0"/>
        <v>0</v>
      </c>
      <c r="P26" s="28"/>
      <c r="Q26" s="28"/>
      <c r="R26" s="28"/>
      <c r="S26" s="28"/>
      <c r="T26" s="48"/>
    </row>
    <row r="27" spans="1:20" ht="12.75">
      <c r="A27" s="20" t="s">
        <v>123</v>
      </c>
      <c r="B27" s="45">
        <v>53.171</v>
      </c>
      <c r="C27" s="28">
        <v>2466</v>
      </c>
      <c r="D27" s="28">
        <v>2367</v>
      </c>
      <c r="E27" s="28">
        <v>3434</v>
      </c>
      <c r="F27" s="28">
        <v>1995</v>
      </c>
      <c r="G27" s="28">
        <v>3920</v>
      </c>
      <c r="H27" s="28">
        <v>2434</v>
      </c>
      <c r="I27" s="28">
        <v>1778</v>
      </c>
      <c r="J27" s="28">
        <v>1852</v>
      </c>
      <c r="K27" s="28">
        <v>1810</v>
      </c>
      <c r="L27" s="28">
        <v>2412</v>
      </c>
      <c r="M27" s="28">
        <v>650</v>
      </c>
      <c r="N27" s="28">
        <v>371</v>
      </c>
      <c r="O27" s="28">
        <f t="shared" si="0"/>
        <v>742</v>
      </c>
      <c r="P27" s="28">
        <v>2000</v>
      </c>
      <c r="Q27" s="28">
        <v>2000</v>
      </c>
      <c r="R27" s="28">
        <v>2000</v>
      </c>
      <c r="S27" s="28">
        <v>1000</v>
      </c>
      <c r="T27" s="48">
        <f>(S27-P27)/P27</f>
        <v>-0.5</v>
      </c>
    </row>
    <row r="28" spans="1:21" ht="12.75" hidden="1">
      <c r="A28" s="20" t="s">
        <v>341</v>
      </c>
      <c r="B28" s="45">
        <v>53.175</v>
      </c>
      <c r="C28" s="28"/>
      <c r="D28" s="28"/>
      <c r="E28" s="28">
        <v>8</v>
      </c>
      <c r="F28" s="28">
        <v>168</v>
      </c>
      <c r="G28" s="28"/>
      <c r="H28" s="28"/>
      <c r="I28" s="28"/>
      <c r="J28" s="28"/>
      <c r="K28" s="28"/>
      <c r="L28" s="28"/>
      <c r="M28" s="28"/>
      <c r="N28" s="28"/>
      <c r="O28" s="28">
        <f t="shared" si="0"/>
        <v>0</v>
      </c>
      <c r="P28" s="28"/>
      <c r="Q28" s="28"/>
      <c r="R28" s="28"/>
      <c r="S28" s="28"/>
      <c r="T28" s="48"/>
      <c r="U28" s="20" t="s">
        <v>515</v>
      </c>
    </row>
    <row r="29" spans="1:21" ht="12.75" hidden="1">
      <c r="A29" s="20" t="s">
        <v>617</v>
      </c>
      <c r="B29" s="45">
        <v>53.176</v>
      </c>
      <c r="C29" s="28"/>
      <c r="D29" s="28"/>
      <c r="E29" s="28">
        <v>29</v>
      </c>
      <c r="F29" s="28">
        <v>7</v>
      </c>
      <c r="G29" s="28"/>
      <c r="H29" s="28"/>
      <c r="I29" s="28"/>
      <c r="J29" s="28"/>
      <c r="K29" s="28"/>
      <c r="L29" s="28"/>
      <c r="M29" s="28"/>
      <c r="N29" s="28"/>
      <c r="O29" s="28">
        <f t="shared" si="0"/>
        <v>0</v>
      </c>
      <c r="P29" s="28"/>
      <c r="Q29" s="28"/>
      <c r="R29" s="28"/>
      <c r="S29" s="28"/>
      <c r="T29" s="48"/>
      <c r="U29" s="20" t="s">
        <v>515</v>
      </c>
    </row>
    <row r="30" spans="1:21" ht="12.75" hidden="1">
      <c r="A30" s="20" t="s">
        <v>342</v>
      </c>
      <c r="B30" s="45">
        <v>53.177</v>
      </c>
      <c r="C30" s="28"/>
      <c r="D30" s="28"/>
      <c r="F30" s="28">
        <v>48</v>
      </c>
      <c r="G30" s="28"/>
      <c r="H30" s="28"/>
      <c r="I30" s="28"/>
      <c r="J30" s="28"/>
      <c r="K30" s="28"/>
      <c r="L30" s="28"/>
      <c r="M30" s="28"/>
      <c r="N30" s="28"/>
      <c r="O30" s="28">
        <f t="shared" si="0"/>
        <v>0</v>
      </c>
      <c r="P30" s="28"/>
      <c r="Q30" s="28"/>
      <c r="R30" s="28"/>
      <c r="S30" s="28"/>
      <c r="T30" s="48"/>
      <c r="U30" s="20" t="s">
        <v>515</v>
      </c>
    </row>
    <row r="31" spans="1:21" ht="12.75" hidden="1">
      <c r="A31" s="20" t="s">
        <v>153</v>
      </c>
      <c r="B31" s="45">
        <v>53.179</v>
      </c>
      <c r="C31" s="28"/>
      <c r="D31" s="28">
        <v>10</v>
      </c>
      <c r="E31" s="28">
        <v>7</v>
      </c>
      <c r="F31" s="28">
        <v>239</v>
      </c>
      <c r="G31" s="28"/>
      <c r="H31" s="28"/>
      <c r="I31" s="28"/>
      <c r="J31" s="28"/>
      <c r="K31" s="28"/>
      <c r="L31" s="28"/>
      <c r="M31" s="28"/>
      <c r="N31" s="28"/>
      <c r="O31" s="28">
        <f t="shared" si="0"/>
        <v>0</v>
      </c>
      <c r="P31" s="28"/>
      <c r="Q31" s="28"/>
      <c r="R31" s="28"/>
      <c r="S31" s="28"/>
      <c r="T31" s="48"/>
      <c r="U31" s="20" t="s">
        <v>515</v>
      </c>
    </row>
    <row r="32" spans="1:20" ht="12.75" hidden="1">
      <c r="A32" s="20" t="s">
        <v>580</v>
      </c>
      <c r="B32" s="45">
        <v>53.1728</v>
      </c>
      <c r="C32" s="28"/>
      <c r="D32" s="28"/>
      <c r="E32" s="28"/>
      <c r="F32" s="28"/>
      <c r="G32" s="28"/>
      <c r="H32" s="28"/>
      <c r="I32" s="28">
        <v>197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48"/>
    </row>
    <row r="33" spans="2:20" ht="12.75">
      <c r="B33" s="45"/>
      <c r="C33" s="28"/>
      <c r="D33" s="28"/>
      <c r="E33" s="28"/>
      <c r="F33" s="28"/>
      <c r="G33" s="28"/>
      <c r="H33" s="28"/>
      <c r="I33" s="28">
        <v>638</v>
      </c>
      <c r="J33" s="28"/>
      <c r="K33" s="28"/>
      <c r="L33" s="28"/>
      <c r="M33" s="28"/>
      <c r="N33" s="28"/>
      <c r="O33" s="28">
        <f t="shared" si="0"/>
        <v>0</v>
      </c>
      <c r="P33" s="28"/>
      <c r="Q33" s="28"/>
      <c r="R33" s="28"/>
      <c r="S33" s="28"/>
      <c r="T33" s="48"/>
    </row>
    <row r="34" spans="1:20" ht="12.75" hidden="1">
      <c r="A34" s="20" t="s">
        <v>138</v>
      </c>
      <c r="B34" s="45">
        <v>54.22</v>
      </c>
      <c r="C34" s="28"/>
      <c r="D34" s="28"/>
      <c r="E34" s="28">
        <v>3618</v>
      </c>
      <c r="F34" s="28"/>
      <c r="G34" s="28"/>
      <c r="H34" s="28"/>
      <c r="I34" s="28"/>
      <c r="J34" s="28"/>
      <c r="K34" s="28"/>
      <c r="L34" s="28"/>
      <c r="M34" s="28"/>
      <c r="N34" s="28"/>
      <c r="O34" s="28">
        <f t="shared" si="0"/>
        <v>0</v>
      </c>
      <c r="P34" s="28"/>
      <c r="Q34" s="28"/>
      <c r="R34" s="28"/>
      <c r="S34" s="28"/>
      <c r="T34" s="48"/>
    </row>
    <row r="35" spans="1:20" ht="12.75">
      <c r="A35" s="20" t="s">
        <v>203</v>
      </c>
      <c r="B35" s="45">
        <v>54.24</v>
      </c>
      <c r="C35" s="28"/>
      <c r="D35" s="28"/>
      <c r="E35" s="28"/>
      <c r="F35" s="28">
        <v>1299</v>
      </c>
      <c r="G35" s="28">
        <v>190</v>
      </c>
      <c r="H35" s="28">
        <v>49</v>
      </c>
      <c r="I35" s="28">
        <f>114+107</f>
        <v>221</v>
      </c>
      <c r="J35" s="28">
        <v>20901</v>
      </c>
      <c r="K35" s="28"/>
      <c r="L35" s="28"/>
      <c r="M35" s="28"/>
      <c r="N35" s="2"/>
      <c r="O35" s="28"/>
      <c r="P35" s="28"/>
      <c r="Q35" s="28"/>
      <c r="R35" s="28"/>
      <c r="S35" s="28"/>
      <c r="T35" s="48"/>
    </row>
    <row r="36" spans="1:20" ht="12.75">
      <c r="A36" s="20" t="s">
        <v>632</v>
      </c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8"/>
    </row>
    <row r="37" spans="2:20" ht="12.75">
      <c r="B37" s="45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8"/>
    </row>
    <row r="38" spans="1:20" ht="12.75">
      <c r="A38" s="42" t="s">
        <v>91</v>
      </c>
      <c r="B38" s="42"/>
      <c r="C38" s="46">
        <v>172023</v>
      </c>
      <c r="D38" s="43">
        <v>192947</v>
      </c>
      <c r="E38" s="43">
        <v>206866</v>
      </c>
      <c r="F38" s="43">
        <v>222152</v>
      </c>
      <c r="G38" s="43">
        <v>215282</v>
      </c>
      <c r="H38" s="43">
        <v>258152</v>
      </c>
      <c r="I38" s="43">
        <v>292549</v>
      </c>
      <c r="J38" s="43">
        <v>307781</v>
      </c>
      <c r="K38" s="43">
        <v>334207</v>
      </c>
      <c r="L38" s="43">
        <v>346323</v>
      </c>
      <c r="M38" s="43">
        <v>338926</v>
      </c>
      <c r="N38" s="43">
        <f aca="true" t="shared" si="2" ref="N38:S38">SUM(N7:N37)</f>
        <v>155864</v>
      </c>
      <c r="O38" s="43">
        <f t="shared" si="2"/>
        <v>312329.961</v>
      </c>
      <c r="P38" s="43">
        <f>SUM(P7:P37)</f>
        <v>361359.3895</v>
      </c>
      <c r="Q38" s="43">
        <f t="shared" si="2"/>
        <v>343822.26282</v>
      </c>
      <c r="R38" s="43">
        <f t="shared" si="2"/>
        <v>343822.26282</v>
      </c>
      <c r="S38" s="43">
        <f t="shared" si="2"/>
        <v>342822.26282</v>
      </c>
      <c r="T38" s="49">
        <f>(S38-P38)/P38</f>
        <v>-0.051298311926110854</v>
      </c>
    </row>
    <row r="40" spans="16:20" ht="12.75">
      <c r="P40" s="20" t="s">
        <v>445</v>
      </c>
      <c r="R40" s="52">
        <f>Q38-R38</f>
        <v>0</v>
      </c>
      <c r="S40" s="51"/>
      <c r="T40" s="39"/>
    </row>
    <row r="41" spans="16:18" ht="12.75">
      <c r="P41" s="20" t="s">
        <v>668</v>
      </c>
      <c r="R41" s="52">
        <f>P38-R38</f>
        <v>17537.126679999987</v>
      </c>
    </row>
    <row r="42" spans="16:22" ht="12.75">
      <c r="P42" s="20" t="s">
        <v>397</v>
      </c>
      <c r="R42" s="52">
        <f>R38-S38</f>
        <v>1000</v>
      </c>
      <c r="V42" s="28"/>
    </row>
    <row r="45" ht="12.75">
      <c r="A45" s="20" t="s">
        <v>957</v>
      </c>
    </row>
    <row r="46" ht="12.75">
      <c r="A46" s="20" t="s">
        <v>972</v>
      </c>
    </row>
    <row r="55" spans="3:17" ht="12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P55" s="28"/>
      <c r="Q55" s="28"/>
    </row>
    <row r="56" spans="3:17" ht="12.7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P56" s="28"/>
      <c r="Q56" s="28"/>
    </row>
    <row r="57" spans="3:17" ht="12.7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P57" s="28"/>
      <c r="Q57" s="28"/>
    </row>
    <row r="58" spans="3:17" ht="12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P58" s="28"/>
      <c r="Q58" s="28"/>
    </row>
    <row r="59" spans="3:17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3:17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4:15" ht="12.75">
      <c r="N61" s="28"/>
      <c r="O61" s="28"/>
    </row>
    <row r="62" spans="14:20" ht="12.75">
      <c r="N62" s="28"/>
      <c r="O62" s="28"/>
      <c r="R62" s="28"/>
      <c r="S62" s="28"/>
      <c r="T62" s="28"/>
    </row>
    <row r="63" spans="14:20" ht="12.75">
      <c r="N63" s="28"/>
      <c r="O63" s="28"/>
      <c r="R63" s="28"/>
      <c r="S63" s="28"/>
      <c r="T63" s="28"/>
    </row>
    <row r="64" spans="14:20" ht="12.75">
      <c r="N64" s="28"/>
      <c r="O64" s="28"/>
      <c r="R64" s="28"/>
      <c r="S64" s="28"/>
      <c r="T64" s="28"/>
    </row>
    <row r="65" spans="18:20" ht="12.75">
      <c r="R65" s="28"/>
      <c r="S65" s="28"/>
      <c r="T65" s="28"/>
    </row>
    <row r="66" spans="18:20" ht="12.75">
      <c r="R66" s="28"/>
      <c r="S66" s="28"/>
      <c r="T66" s="28"/>
    </row>
    <row r="67" spans="18:20" ht="12.75">
      <c r="R67" s="28"/>
      <c r="S67" s="28"/>
      <c r="T67" s="28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94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10" width="7.57421875" style="0" hidden="1" customWidth="1"/>
    <col min="11" max="13" width="7.57421875" style="0" customWidth="1"/>
    <col min="14" max="14" width="7.57421875" style="0" bestFit="1" customWidth="1"/>
    <col min="15" max="15" width="8.00390625" style="0" bestFit="1" customWidth="1"/>
    <col min="16" max="16" width="8.7109375" style="0" customWidth="1"/>
    <col min="17" max="17" width="8.00390625" style="0" bestFit="1" customWidth="1"/>
    <col min="18" max="18" width="9.28125" style="0" bestFit="1" customWidth="1"/>
    <col min="20" max="20" width="10.42187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s="20" customFormat="1" ht="12.75">
      <c r="A3" s="6" t="s">
        <v>379</v>
      </c>
      <c r="F3" s="24"/>
      <c r="G3" s="24"/>
      <c r="H3" s="24"/>
      <c r="I3" s="24"/>
      <c r="J3" s="24"/>
      <c r="K3" s="24"/>
      <c r="L3" s="24"/>
      <c r="M3" s="24"/>
      <c r="N3" s="47">
        <v>6</v>
      </c>
      <c r="T3" s="24" t="s">
        <v>316</v>
      </c>
    </row>
    <row r="4" spans="3:20" s="20" customFormat="1" ht="12.75">
      <c r="C4" s="24" t="s">
        <v>83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395</v>
      </c>
      <c r="P4" s="24"/>
      <c r="Q4" s="24" t="s">
        <v>390</v>
      </c>
      <c r="R4" s="24" t="s">
        <v>392</v>
      </c>
      <c r="S4" s="24" t="s">
        <v>393</v>
      </c>
      <c r="T4" s="24" t="s">
        <v>387</v>
      </c>
    </row>
    <row r="5" spans="3:20" s="20" customFormat="1" ht="12.75">
      <c r="C5" s="24" t="s">
        <v>84</v>
      </c>
      <c r="D5" s="24" t="s">
        <v>386</v>
      </c>
      <c r="E5" s="24" t="s">
        <v>386</v>
      </c>
      <c r="F5" s="24" t="s">
        <v>386</v>
      </c>
      <c r="G5" s="24" t="s">
        <v>386</v>
      </c>
      <c r="H5" s="24" t="s">
        <v>386</v>
      </c>
      <c r="I5" s="24" t="s">
        <v>386</v>
      </c>
      <c r="J5" s="24" t="s">
        <v>386</v>
      </c>
      <c r="K5" s="24" t="s">
        <v>386</v>
      </c>
      <c r="L5" s="24" t="s">
        <v>386</v>
      </c>
      <c r="M5" s="24" t="s">
        <v>386</v>
      </c>
      <c r="N5" s="24" t="s">
        <v>386</v>
      </c>
      <c r="O5" s="24" t="s">
        <v>396</v>
      </c>
      <c r="P5" s="24" t="s">
        <v>316</v>
      </c>
      <c r="Q5" s="24" t="s">
        <v>391</v>
      </c>
      <c r="R5" s="24" t="s">
        <v>609</v>
      </c>
      <c r="S5" s="24" t="s">
        <v>382</v>
      </c>
      <c r="T5" s="24" t="s">
        <v>388</v>
      </c>
    </row>
    <row r="6" spans="1:21" s="20" customFormat="1" ht="12.75">
      <c r="A6" s="20" t="s">
        <v>93</v>
      </c>
      <c r="C6" s="24">
        <v>1999</v>
      </c>
      <c r="D6" s="21">
        <v>2000</v>
      </c>
      <c r="E6" s="21">
        <v>2001</v>
      </c>
      <c r="F6" s="21">
        <v>2002</v>
      </c>
      <c r="G6" s="21">
        <v>2003</v>
      </c>
      <c r="H6" s="21">
        <v>2004</v>
      </c>
      <c r="I6" s="21">
        <v>2005</v>
      </c>
      <c r="J6" s="21">
        <v>2006</v>
      </c>
      <c r="K6" s="21">
        <v>2007</v>
      </c>
      <c r="L6" s="21">
        <v>2008</v>
      </c>
      <c r="M6" s="21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24" t="s">
        <v>90</v>
      </c>
    </row>
    <row r="7" spans="1:20" ht="12.75" hidden="1">
      <c r="A7" s="20" t="s">
        <v>604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hidden="1">
      <c r="A8" t="s">
        <v>113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/>
      <c r="O8" s="2"/>
      <c r="P8" s="2">
        <v>0</v>
      </c>
      <c r="Q8" s="2"/>
      <c r="R8" s="2"/>
      <c r="S8" s="2"/>
      <c r="T8" s="60"/>
    </row>
    <row r="9" spans="2:20" s="20" customFormat="1" ht="12.75" hidden="1">
      <c r="B9" s="4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78"/>
    </row>
    <row r="10" spans="1:20" ht="12.75" hidden="1">
      <c r="A10" t="s">
        <v>131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"/>
      <c r="N10" s="2"/>
      <c r="O10" s="28">
        <f>(12/$N$3)*N10</f>
        <v>0</v>
      </c>
      <c r="T10" s="78"/>
    </row>
    <row r="11" spans="1:20" ht="12.75">
      <c r="A11" s="20" t="s">
        <v>180</v>
      </c>
      <c r="B11" s="4">
        <v>52.121</v>
      </c>
      <c r="C11" s="2"/>
      <c r="D11" s="2"/>
      <c r="E11" s="2"/>
      <c r="F11" s="2"/>
      <c r="G11" s="2"/>
      <c r="H11" s="2"/>
      <c r="I11" s="2"/>
      <c r="J11" s="2"/>
      <c r="K11" s="2"/>
      <c r="L11" s="2">
        <v>170</v>
      </c>
      <c r="M11" s="2"/>
      <c r="N11" s="2"/>
      <c r="O11" s="28"/>
      <c r="T11" s="78"/>
    </row>
    <row r="12" spans="1:20" ht="12.75">
      <c r="A12" t="s">
        <v>114</v>
      </c>
      <c r="B12" s="4">
        <v>52.1314</v>
      </c>
      <c r="C12" s="2">
        <v>3324</v>
      </c>
      <c r="D12" s="2">
        <v>2587</v>
      </c>
      <c r="E12" s="2">
        <v>1977</v>
      </c>
      <c r="F12" s="2">
        <v>2441</v>
      </c>
      <c r="G12" s="2"/>
      <c r="H12" s="2">
        <v>2254</v>
      </c>
      <c r="I12" s="2"/>
      <c r="J12" s="2">
        <v>11406</v>
      </c>
      <c r="K12" s="2">
        <v>620</v>
      </c>
      <c r="L12" s="2"/>
      <c r="M12" s="2"/>
      <c r="N12" s="2"/>
      <c r="O12" s="28"/>
      <c r="P12" s="2"/>
      <c r="Q12" s="2"/>
      <c r="R12" s="2"/>
      <c r="S12" s="2"/>
      <c r="T12" s="78"/>
    </row>
    <row r="13" spans="1:20" ht="12.75" hidden="1">
      <c r="A13" t="s">
        <v>234</v>
      </c>
      <c r="B13" s="4">
        <v>52.2206</v>
      </c>
      <c r="C13" s="2"/>
      <c r="D13" s="2"/>
      <c r="E13" s="2"/>
      <c r="F13" s="2">
        <v>1220</v>
      </c>
      <c r="G13" s="2"/>
      <c r="H13" s="2"/>
      <c r="I13" s="2"/>
      <c r="J13" s="2"/>
      <c r="K13" s="2"/>
      <c r="L13" s="2"/>
      <c r="M13" s="2"/>
      <c r="N13" s="2"/>
      <c r="O13" s="28"/>
      <c r="Q13" s="2"/>
      <c r="T13" s="78"/>
    </row>
    <row r="14" spans="1:20" ht="12.75">
      <c r="A14" t="s">
        <v>692</v>
      </c>
      <c r="B14" s="4">
        <v>53.1611</v>
      </c>
      <c r="C14" s="2"/>
      <c r="D14" s="2"/>
      <c r="E14" s="2"/>
      <c r="F14" s="2"/>
      <c r="G14" s="2"/>
      <c r="H14" s="2"/>
      <c r="I14" s="2"/>
      <c r="J14" s="2"/>
      <c r="K14" s="2"/>
      <c r="L14" s="2">
        <v>5025</v>
      </c>
      <c r="M14" s="2"/>
      <c r="N14" s="2"/>
      <c r="O14" s="28"/>
      <c r="Q14" s="2"/>
      <c r="T14" s="78"/>
    </row>
    <row r="15" spans="1:20" ht="12.75">
      <c r="A15" t="s">
        <v>113</v>
      </c>
      <c r="B15" s="4">
        <v>51.22</v>
      </c>
      <c r="C15" s="2"/>
      <c r="D15" s="2"/>
      <c r="E15" s="2"/>
      <c r="F15" s="2"/>
      <c r="G15" s="2"/>
      <c r="H15" s="2"/>
      <c r="I15" s="2"/>
      <c r="J15" s="2"/>
      <c r="K15" s="2">
        <v>44</v>
      </c>
      <c r="L15" s="2"/>
      <c r="M15" s="2"/>
      <c r="N15" s="2"/>
      <c r="O15" s="28"/>
      <c r="Q15" s="2"/>
      <c r="T15" s="78"/>
    </row>
    <row r="16" spans="1:20" ht="12.75" hidden="1">
      <c r="A16" t="s">
        <v>115</v>
      </c>
      <c r="B16" s="4">
        <v>52.32</v>
      </c>
      <c r="C16" s="2"/>
      <c r="D16" s="2"/>
      <c r="E16" s="2"/>
      <c r="F16" s="2">
        <v>1</v>
      </c>
      <c r="G16" s="2"/>
      <c r="H16" s="2"/>
      <c r="I16" s="2">
        <v>9</v>
      </c>
      <c r="J16" s="2"/>
      <c r="K16" s="2"/>
      <c r="L16" s="2"/>
      <c r="M16" s="2"/>
      <c r="N16" s="2"/>
      <c r="O16" s="28"/>
      <c r="Q16" s="2"/>
      <c r="T16" s="78"/>
    </row>
    <row r="17" spans="1:20" ht="12.75">
      <c r="A17" t="s">
        <v>116</v>
      </c>
      <c r="B17" s="4">
        <v>52.321</v>
      </c>
      <c r="C17" s="2"/>
      <c r="D17" s="2">
        <v>132</v>
      </c>
      <c r="E17" s="2">
        <v>99</v>
      </c>
      <c r="F17" s="2">
        <v>165</v>
      </c>
      <c r="G17" s="2">
        <v>111</v>
      </c>
      <c r="H17" s="2">
        <v>74</v>
      </c>
      <c r="I17" s="2">
        <v>93</v>
      </c>
      <c r="J17" s="2">
        <v>117</v>
      </c>
      <c r="K17" s="2">
        <v>162</v>
      </c>
      <c r="L17" s="2">
        <f>216+1128</f>
        <v>1344</v>
      </c>
      <c r="M17" s="2">
        <v>126</v>
      </c>
      <c r="N17" s="2">
        <v>0</v>
      </c>
      <c r="O17" s="28">
        <v>120</v>
      </c>
      <c r="P17" s="2">
        <v>120</v>
      </c>
      <c r="Q17" s="2">
        <v>82</v>
      </c>
      <c r="R17" s="2">
        <v>82</v>
      </c>
      <c r="S17" s="2">
        <v>82</v>
      </c>
      <c r="T17" s="78">
        <f>(S17-P17)/P17</f>
        <v>-0.31666666666666665</v>
      </c>
    </row>
    <row r="18" spans="1:21" ht="12.75">
      <c r="A18" t="s">
        <v>117</v>
      </c>
      <c r="B18" s="4">
        <v>52.35</v>
      </c>
      <c r="C18" s="2">
        <v>1060</v>
      </c>
      <c r="D18" s="2">
        <v>50</v>
      </c>
      <c r="E18" s="2">
        <v>577</v>
      </c>
      <c r="F18" s="2">
        <v>800</v>
      </c>
      <c r="G18" s="2">
        <v>523</v>
      </c>
      <c r="H18" s="2">
        <v>891</v>
      </c>
      <c r="I18" s="2">
        <v>809</v>
      </c>
      <c r="J18" s="2">
        <v>791</v>
      </c>
      <c r="K18" s="2">
        <v>1235</v>
      </c>
      <c r="L18" s="2">
        <v>1528</v>
      </c>
      <c r="M18" s="2">
        <v>1240</v>
      </c>
      <c r="N18" s="2">
        <v>1044</v>
      </c>
      <c r="O18" s="28">
        <v>1300</v>
      </c>
      <c r="P18" s="2">
        <v>1300</v>
      </c>
      <c r="Q18" s="2">
        <v>1600</v>
      </c>
      <c r="R18" s="2">
        <v>1600</v>
      </c>
      <c r="S18" s="2">
        <v>1600</v>
      </c>
      <c r="T18" s="78">
        <f>(S18-P18)/P18</f>
        <v>0.23076923076923078</v>
      </c>
      <c r="U18" s="30" t="s">
        <v>338</v>
      </c>
    </row>
    <row r="19" spans="1:20" ht="12.75">
      <c r="A19" t="s">
        <v>118</v>
      </c>
      <c r="B19" s="4">
        <v>52.3602</v>
      </c>
      <c r="C19" s="2">
        <v>35</v>
      </c>
      <c r="D19" s="2">
        <v>25</v>
      </c>
      <c r="E19" s="2">
        <v>25</v>
      </c>
      <c r="F19" s="2">
        <v>20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30</v>
      </c>
      <c r="M19" s="2">
        <v>30</v>
      </c>
      <c r="N19" s="2">
        <v>30</v>
      </c>
      <c r="O19" s="28">
        <v>30</v>
      </c>
      <c r="P19" s="2">
        <v>30</v>
      </c>
      <c r="Q19" s="2">
        <v>30</v>
      </c>
      <c r="R19" s="2">
        <v>30</v>
      </c>
      <c r="S19" s="2">
        <v>30</v>
      </c>
      <c r="T19" s="78">
        <f>(S19-P19)/P19</f>
        <v>0</v>
      </c>
    </row>
    <row r="20" spans="1:21" ht="12.75">
      <c r="A20" t="s">
        <v>119</v>
      </c>
      <c r="B20" s="4">
        <v>52.37</v>
      </c>
      <c r="C20" s="2"/>
      <c r="D20" s="2"/>
      <c r="E20" s="2">
        <v>230</v>
      </c>
      <c r="F20" s="2">
        <v>230</v>
      </c>
      <c r="G20" s="2">
        <v>250</v>
      </c>
      <c r="H20" s="2">
        <v>250</v>
      </c>
      <c r="I20" s="2"/>
      <c r="J20" s="2"/>
      <c r="K20" s="2">
        <v>295</v>
      </c>
      <c r="L20" s="2">
        <v>855</v>
      </c>
      <c r="M20" s="2">
        <v>900</v>
      </c>
      <c r="N20" s="2">
        <v>1050</v>
      </c>
      <c r="O20" s="28">
        <v>1050</v>
      </c>
      <c r="P20" s="2">
        <v>915</v>
      </c>
      <c r="Q20" s="2">
        <v>1050</v>
      </c>
      <c r="R20" s="2">
        <v>1050</v>
      </c>
      <c r="S20" s="2">
        <v>1050</v>
      </c>
      <c r="T20" s="78"/>
      <c r="U20" s="30" t="s">
        <v>338</v>
      </c>
    </row>
    <row r="21" spans="1:20" ht="12.75">
      <c r="A21" t="s">
        <v>446</v>
      </c>
      <c r="B21" s="4">
        <v>52.385</v>
      </c>
      <c r="C21" s="2"/>
      <c r="D21" s="2"/>
      <c r="E21" s="2"/>
      <c r="F21" s="2">
        <v>390</v>
      </c>
      <c r="G21" s="2">
        <v>3057</v>
      </c>
      <c r="H21" s="2">
        <v>105</v>
      </c>
      <c r="I21" s="2">
        <v>154</v>
      </c>
      <c r="J21" s="2">
        <v>112</v>
      </c>
      <c r="K21" s="2"/>
      <c r="L21" s="2">
        <v>0</v>
      </c>
      <c r="M21" s="2">
        <v>163</v>
      </c>
      <c r="N21" s="2"/>
      <c r="O21" s="28"/>
      <c r="P21" s="19"/>
      <c r="Q21" s="2">
        <v>500</v>
      </c>
      <c r="R21" s="19"/>
      <c r="S21" s="19"/>
      <c r="T21" s="78"/>
    </row>
    <row r="22" spans="1:21" ht="12.75">
      <c r="A22" t="s">
        <v>120</v>
      </c>
      <c r="B22" s="4">
        <v>52.3854</v>
      </c>
      <c r="C22" s="2">
        <v>10691</v>
      </c>
      <c r="D22" s="2">
        <v>12450</v>
      </c>
      <c r="E22" s="2"/>
      <c r="F22" s="2">
        <v>9055</v>
      </c>
      <c r="G22" s="2">
        <v>8965</v>
      </c>
      <c r="H22" s="2">
        <v>17297</v>
      </c>
      <c r="I22" s="2">
        <v>10668</v>
      </c>
      <c r="J22" s="2">
        <v>12232</v>
      </c>
      <c r="K22" s="2">
        <v>16255</v>
      </c>
      <c r="L22" s="2">
        <v>14954</v>
      </c>
      <c r="M22" s="2">
        <v>12928</v>
      </c>
      <c r="N22" s="2">
        <v>0</v>
      </c>
      <c r="O22" s="28">
        <v>9825</v>
      </c>
      <c r="P22" s="2">
        <v>9825</v>
      </c>
      <c r="Q22" s="2">
        <v>10848</v>
      </c>
      <c r="R22" s="2">
        <v>7200</v>
      </c>
      <c r="S22" s="2">
        <v>7200</v>
      </c>
      <c r="T22" s="78">
        <f>(S22-P22)/P22</f>
        <v>-0.26717557251908397</v>
      </c>
      <c r="U22" t="s">
        <v>464</v>
      </c>
    </row>
    <row r="23" spans="1:21" ht="12.75">
      <c r="A23" t="s">
        <v>121</v>
      </c>
      <c r="B23" s="4">
        <v>52.39</v>
      </c>
      <c r="C23" s="2"/>
      <c r="D23" s="2"/>
      <c r="E23" s="2">
        <v>634</v>
      </c>
      <c r="F23" s="2"/>
      <c r="G23" s="2">
        <v>462</v>
      </c>
      <c r="H23" s="2">
        <v>225</v>
      </c>
      <c r="I23" s="2">
        <v>200</v>
      </c>
      <c r="J23" s="2">
        <v>300</v>
      </c>
      <c r="K23" s="2">
        <v>2400</v>
      </c>
      <c r="L23" s="2">
        <v>2560</v>
      </c>
      <c r="M23" s="2">
        <v>1700</v>
      </c>
      <c r="N23" s="2">
        <v>0</v>
      </c>
      <c r="O23" s="28">
        <v>1000</v>
      </c>
      <c r="P23" s="2">
        <v>1000</v>
      </c>
      <c r="Q23" s="2">
        <v>2000</v>
      </c>
      <c r="R23" s="2">
        <v>1000</v>
      </c>
      <c r="S23" s="2">
        <v>1000</v>
      </c>
      <c r="T23" s="78">
        <f>(S23-P23)/P23</f>
        <v>0</v>
      </c>
      <c r="U23" t="s">
        <v>464</v>
      </c>
    </row>
    <row r="24" spans="2:20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8"/>
      <c r="T24" s="78"/>
    </row>
    <row r="25" spans="1:20" ht="12.75">
      <c r="A25" t="s">
        <v>122</v>
      </c>
      <c r="B25" s="4">
        <v>53.12</v>
      </c>
      <c r="C25" s="2">
        <v>360</v>
      </c>
      <c r="D25" s="2"/>
      <c r="E25" s="2">
        <v>1543</v>
      </c>
      <c r="F25" s="2">
        <v>6247</v>
      </c>
      <c r="G25" s="2">
        <v>7345</v>
      </c>
      <c r="H25" s="2">
        <v>5930</v>
      </c>
      <c r="I25" s="2">
        <v>292</v>
      </c>
      <c r="J25" s="2">
        <v>276</v>
      </c>
      <c r="K25" s="2">
        <v>228</v>
      </c>
      <c r="L25" s="2">
        <v>0</v>
      </c>
      <c r="M25" s="2"/>
      <c r="N25" s="2"/>
      <c r="O25" s="28"/>
      <c r="P25" s="2"/>
      <c r="Q25" s="2"/>
      <c r="R25" s="2"/>
      <c r="S25" s="2"/>
      <c r="T25" s="78"/>
    </row>
    <row r="26" spans="1:20" ht="12.75">
      <c r="A26" t="s">
        <v>332</v>
      </c>
      <c r="B26" s="4">
        <v>53.1704</v>
      </c>
      <c r="C26" s="2"/>
      <c r="D26" s="2"/>
      <c r="E26" s="2"/>
      <c r="F26" s="2"/>
      <c r="G26" s="2">
        <v>494</v>
      </c>
      <c r="H26" s="2">
        <v>128</v>
      </c>
      <c r="I26" s="2"/>
      <c r="J26" s="2">
        <v>2579</v>
      </c>
      <c r="K26" s="2">
        <v>290</v>
      </c>
      <c r="L26" s="2"/>
      <c r="M26" s="2"/>
      <c r="N26" s="2"/>
      <c r="O26" s="28"/>
      <c r="P26" s="2"/>
      <c r="Q26" s="2"/>
      <c r="R26" s="2"/>
      <c r="S26" s="2"/>
      <c r="T26" s="78"/>
    </row>
    <row r="27" spans="1:20" ht="12.75" hidden="1">
      <c r="A27" t="s">
        <v>331</v>
      </c>
      <c r="B27" s="4">
        <v>53.123</v>
      </c>
      <c r="C27" s="2"/>
      <c r="D27" s="2">
        <v>6411</v>
      </c>
      <c r="E27" s="2">
        <v>5514</v>
      </c>
      <c r="F27" s="2"/>
      <c r="G27" s="2"/>
      <c r="H27" s="2"/>
      <c r="I27" s="2"/>
      <c r="J27" s="2"/>
      <c r="K27" s="2"/>
      <c r="L27" s="2"/>
      <c r="M27" s="2"/>
      <c r="N27" s="2"/>
      <c r="O27" s="28"/>
      <c r="T27" s="78"/>
    </row>
    <row r="28" spans="1:21" ht="12.75">
      <c r="A28" t="s">
        <v>123</v>
      </c>
      <c r="B28" s="4">
        <v>53.171</v>
      </c>
      <c r="C28" s="2">
        <v>1981</v>
      </c>
      <c r="D28" s="2">
        <v>4544</v>
      </c>
      <c r="E28" s="2">
        <v>3490</v>
      </c>
      <c r="F28" s="2">
        <v>6334</v>
      </c>
      <c r="G28" s="2">
        <v>4205</v>
      </c>
      <c r="H28" s="2">
        <v>441</v>
      </c>
      <c r="I28" s="2">
        <v>337</v>
      </c>
      <c r="J28" s="2">
        <v>573</v>
      </c>
      <c r="K28" s="2">
        <v>2544</v>
      </c>
      <c r="L28" s="2">
        <f>3669+100</f>
        <v>3769</v>
      </c>
      <c r="M28" s="2">
        <v>2829</v>
      </c>
      <c r="N28" s="2">
        <v>276</v>
      </c>
      <c r="O28" s="28">
        <v>3000</v>
      </c>
      <c r="P28" s="2">
        <v>3200</v>
      </c>
      <c r="Q28" s="2">
        <v>12820</v>
      </c>
      <c r="R28" s="2">
        <v>3400</v>
      </c>
      <c r="S28" s="2">
        <v>3400</v>
      </c>
      <c r="T28" s="78">
        <f>(S28-P28)/P28</f>
        <v>0.0625</v>
      </c>
      <c r="U28" t="s">
        <v>859</v>
      </c>
    </row>
    <row r="29" spans="1:20" ht="12.75">
      <c r="A29" t="s">
        <v>124</v>
      </c>
      <c r="B29" s="4">
        <v>53.172</v>
      </c>
      <c r="C29" s="2">
        <v>480</v>
      </c>
      <c r="D29" s="2"/>
      <c r="E29" s="2"/>
      <c r="F29" s="2">
        <v>680</v>
      </c>
      <c r="G29" s="2">
        <v>158</v>
      </c>
      <c r="H29" s="2"/>
      <c r="I29" s="2">
        <v>300</v>
      </c>
      <c r="J29" s="2">
        <v>347</v>
      </c>
      <c r="K29" s="2">
        <v>62</v>
      </c>
      <c r="L29" s="2"/>
      <c r="M29" s="2"/>
      <c r="N29" s="2"/>
      <c r="O29" s="28"/>
      <c r="P29" s="2"/>
      <c r="Q29" s="2"/>
      <c r="R29" s="2"/>
      <c r="S29" s="2"/>
      <c r="T29" s="78"/>
    </row>
    <row r="30" spans="1:21" ht="12.75">
      <c r="A30" t="s">
        <v>8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8"/>
      <c r="P30" s="2"/>
      <c r="Q30" s="2"/>
      <c r="R30" s="2">
        <v>6350</v>
      </c>
      <c r="S30" s="2">
        <v>6350</v>
      </c>
      <c r="T30" s="78"/>
      <c r="U30" t="s">
        <v>464</v>
      </c>
    </row>
    <row r="31" spans="1:20" ht="12.75">
      <c r="A31" t="s">
        <v>509</v>
      </c>
      <c r="I31">
        <v>406</v>
      </c>
      <c r="O31" s="28"/>
      <c r="P31" s="2"/>
      <c r="R31" s="2"/>
      <c r="S31" s="2"/>
      <c r="T31" s="78"/>
    </row>
    <row r="32" spans="1:20" s="20" customFormat="1" ht="12.75">
      <c r="A32" s="42" t="s">
        <v>91</v>
      </c>
      <c r="B32" s="42"/>
      <c r="C32" s="43">
        <f aca="true" t="shared" si="0" ref="C32:S32">SUM(C7:C31)</f>
        <v>28622</v>
      </c>
      <c r="D32" s="43">
        <f t="shared" si="0"/>
        <v>38749</v>
      </c>
      <c r="E32" s="43">
        <f t="shared" si="0"/>
        <v>21951</v>
      </c>
      <c r="F32" s="43">
        <f t="shared" si="0"/>
        <v>28703</v>
      </c>
      <c r="G32" s="43">
        <f t="shared" si="0"/>
        <v>25816</v>
      </c>
      <c r="H32" s="43">
        <f t="shared" si="0"/>
        <v>27615</v>
      </c>
      <c r="I32" s="43">
        <f t="shared" si="0"/>
        <v>18240</v>
      </c>
      <c r="J32" s="43">
        <v>31154</v>
      </c>
      <c r="K32" s="43">
        <f t="shared" si="0"/>
        <v>24155</v>
      </c>
      <c r="L32" s="43">
        <v>30235</v>
      </c>
      <c r="M32" s="43">
        <v>19916</v>
      </c>
      <c r="N32" s="43">
        <f t="shared" si="0"/>
        <v>2400</v>
      </c>
      <c r="O32" s="43">
        <f t="shared" si="0"/>
        <v>16325</v>
      </c>
      <c r="P32" s="43">
        <f>SUM(P7:P31)</f>
        <v>16390</v>
      </c>
      <c r="Q32" s="43">
        <f>SUM(Q7:Q31)</f>
        <v>28930</v>
      </c>
      <c r="R32" s="43">
        <f>SUM(R7:R31)</f>
        <v>20712</v>
      </c>
      <c r="S32" s="43">
        <f t="shared" si="0"/>
        <v>20712</v>
      </c>
      <c r="T32" s="49">
        <f>(S32-P32)/P32</f>
        <v>0.2636973764490543</v>
      </c>
    </row>
    <row r="33" s="20" customFormat="1" ht="12.75"/>
    <row r="34" spans="16:20" s="20" customFormat="1" ht="12.75">
      <c r="P34" s="20" t="s">
        <v>445</v>
      </c>
      <c r="R34" s="52">
        <f>Q32-R32</f>
        <v>8218</v>
      </c>
      <c r="S34" s="51"/>
      <c r="T34" s="39"/>
    </row>
    <row r="35" spans="2:20" s="20" customFormat="1" ht="12.75">
      <c r="B35" s="4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0" t="s">
        <v>668</v>
      </c>
      <c r="R35" s="52">
        <f>P32-R32</f>
        <v>-4322</v>
      </c>
      <c r="S35" s="28"/>
      <c r="T35" s="48"/>
    </row>
    <row r="36" spans="1:20" s="20" customFormat="1" ht="12.75">
      <c r="A36" s="42"/>
      <c r="B36" s="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0" t="s">
        <v>397</v>
      </c>
      <c r="R36" s="52">
        <f>R32-S32</f>
        <v>0</v>
      </c>
      <c r="S36" s="28"/>
      <c r="T36" s="48"/>
    </row>
    <row r="37" spans="1:20" s="20" customFormat="1" ht="12.75">
      <c r="A37"/>
      <c r="B3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8"/>
    </row>
    <row r="38" spans="1:20" s="20" customFormat="1" ht="12.75">
      <c r="A38" s="20" t="s">
        <v>9</v>
      </c>
      <c r="B38" s="4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48"/>
    </row>
    <row r="39" spans="1:20" s="20" customFormat="1" ht="12.75">
      <c r="A39" s="20" t="s">
        <v>10</v>
      </c>
      <c r="B39" s="4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8"/>
    </row>
    <row r="40" spans="1:20" s="20" customFormat="1" ht="12.75">
      <c r="A40" s="20" t="s">
        <v>11</v>
      </c>
      <c r="B40" s="4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48"/>
    </row>
    <row r="41" spans="2:20" s="20" customFormat="1" ht="12.75">
      <c r="B41" s="4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8"/>
    </row>
    <row r="42" spans="2:20" s="20" customFormat="1" ht="12.75">
      <c r="B42" s="4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48"/>
    </row>
    <row r="43" spans="2:20" s="20" customFormat="1" ht="12.75">
      <c r="B43" s="4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48"/>
    </row>
    <row r="44" s="20" customFormat="1" ht="12.75"/>
    <row r="45" spans="18:20" s="20" customFormat="1" ht="12.75">
      <c r="R45" s="52"/>
      <c r="S45" s="51"/>
      <c r="T45" s="39"/>
    </row>
    <row r="46" s="20" customFormat="1" ht="12.75">
      <c r="R46" s="52"/>
    </row>
    <row r="89" spans="3:20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3:20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</sheetData>
  <printOptions gridLines="1"/>
  <pageMargins left="0.25" right="0.25" top="1" bottom="0.55" header="0.5" footer="0.25"/>
  <pageSetup fitToHeight="1" fitToWidth="1" horizontalDpi="300" verticalDpi="300" orientation="landscape" scale="99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Y8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10" width="8.00390625" style="0" hidden="1" customWidth="1"/>
    <col min="11" max="11" width="8.00390625" style="0" customWidth="1"/>
    <col min="12" max="13" width="9.7109375" style="0" customWidth="1"/>
    <col min="14" max="14" width="7.57421875" style="0" bestFit="1" customWidth="1"/>
    <col min="15" max="15" width="8.00390625" style="0" bestFit="1" customWidth="1"/>
    <col min="18" max="18" width="11.00390625" style="0" bestFit="1" customWidth="1"/>
    <col min="19" max="19" width="8.7109375" style="0" bestFit="1" customWidth="1"/>
    <col min="20" max="20" width="11.00390625" style="0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380</v>
      </c>
      <c r="N3" s="53">
        <v>6</v>
      </c>
      <c r="T3" s="1" t="s">
        <v>399</v>
      </c>
    </row>
    <row r="4" spans="3:20" ht="12.75">
      <c r="C4" s="1" t="s">
        <v>83</v>
      </c>
      <c r="N4" s="1" t="s">
        <v>395</v>
      </c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9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1" ht="12.75">
      <c r="A7" s="20" t="s">
        <v>672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18227.08</v>
      </c>
      <c r="M7" s="2">
        <v>14814</v>
      </c>
      <c r="N7" s="2">
        <v>5160</v>
      </c>
      <c r="O7" s="28">
        <v>10979</v>
      </c>
      <c r="P7" s="19">
        <v>11917</v>
      </c>
      <c r="Q7" s="2">
        <v>11527</v>
      </c>
      <c r="R7" s="19">
        <v>11527</v>
      </c>
      <c r="S7" s="19">
        <v>11527</v>
      </c>
      <c r="T7" s="75">
        <f>(S7-P18)/P18</f>
        <v>-0.031100277380852314</v>
      </c>
      <c r="U7" t="s">
        <v>338</v>
      </c>
    </row>
    <row r="8" spans="1:20" ht="12.75" hidden="1">
      <c r="A8" t="s">
        <v>126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"/>
      <c r="N8" s="2"/>
      <c r="O8" s="28"/>
      <c r="P8" s="2"/>
      <c r="Q8" s="2"/>
      <c r="R8" s="2"/>
      <c r="S8" s="2"/>
      <c r="T8" s="75"/>
    </row>
    <row r="9" spans="1:20" ht="12.75">
      <c r="A9" t="s">
        <v>907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8"/>
      <c r="P9" s="2"/>
      <c r="Q9" s="2">
        <v>1386.66</v>
      </c>
      <c r="R9" s="2"/>
      <c r="S9" s="2"/>
      <c r="T9" s="75"/>
    </row>
    <row r="10" spans="1:20" ht="12.75">
      <c r="A10" t="s">
        <v>908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/>
      <c r="P10" s="2"/>
      <c r="Q10" s="2">
        <v>3000</v>
      </c>
      <c r="R10" s="2"/>
      <c r="S10" s="2"/>
      <c r="T10" s="75"/>
    </row>
    <row r="11" spans="1:20" ht="12.75">
      <c r="A11" t="s">
        <v>974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8"/>
      <c r="P11" s="2"/>
      <c r="Q11" s="2"/>
      <c r="S11" s="2">
        <v>3150</v>
      </c>
      <c r="T11" s="75"/>
    </row>
    <row r="12" spans="1:20" ht="12.75">
      <c r="A12" t="s">
        <v>78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>
        <v>5668</v>
      </c>
      <c r="M12" s="2"/>
      <c r="N12" s="2"/>
      <c r="O12" s="28"/>
      <c r="P12" s="2"/>
      <c r="Q12" s="2"/>
      <c r="R12" s="2"/>
      <c r="S12" s="2"/>
      <c r="T12" s="75"/>
    </row>
    <row r="13" spans="1:20" ht="12.75" hidden="1">
      <c r="A13" t="s">
        <v>849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8"/>
      <c r="P13" s="2"/>
      <c r="Q13" s="2"/>
      <c r="R13" s="2"/>
      <c r="S13" s="2"/>
      <c r="T13" s="75"/>
    </row>
    <row r="14" spans="1:20" ht="12.75" hidden="1">
      <c r="A14" t="s">
        <v>850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8"/>
      <c r="P14" s="2"/>
      <c r="Q14" s="2"/>
      <c r="R14" s="2"/>
      <c r="S14" s="2"/>
      <c r="T14" s="75"/>
    </row>
    <row r="15" spans="1:21" ht="12.75">
      <c r="A15" t="s">
        <v>851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2331</v>
      </c>
      <c r="N15" s="2"/>
      <c r="O15" s="28">
        <v>2250</v>
      </c>
      <c r="P15" s="2">
        <v>2250</v>
      </c>
      <c r="Q15" s="2"/>
      <c r="R15" s="2"/>
      <c r="S15" s="2"/>
      <c r="T15" s="75"/>
      <c r="U15" s="2"/>
    </row>
    <row r="16" spans="1:20" ht="12.75">
      <c r="A16" t="s">
        <v>852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8">
        <v>900</v>
      </c>
      <c r="P16" s="2">
        <v>900</v>
      </c>
      <c r="Q16" s="2"/>
      <c r="R16" s="2"/>
      <c r="S16" s="2"/>
      <c r="T16" s="75"/>
    </row>
    <row r="17" spans="1:25" ht="12.75">
      <c r="A17" t="s">
        <v>673</v>
      </c>
      <c r="B17" s="4"/>
      <c r="C17" s="2"/>
      <c r="D17" s="2"/>
      <c r="E17" s="2"/>
      <c r="F17" s="2"/>
      <c r="G17" s="2"/>
      <c r="H17" s="2"/>
      <c r="I17" s="2"/>
      <c r="J17" s="2"/>
      <c r="K17" s="2">
        <v>581</v>
      </c>
      <c r="L17" s="2">
        <v>459</v>
      </c>
      <c r="M17" s="2"/>
      <c r="N17" s="2"/>
      <c r="O17" s="158"/>
      <c r="P17" s="2"/>
      <c r="Q17" s="2">
        <v>500</v>
      </c>
      <c r="R17" s="2"/>
      <c r="S17" s="2"/>
      <c r="T17" s="75"/>
      <c r="X17" s="4"/>
      <c r="Y17" s="134"/>
    </row>
    <row r="18" spans="1:20" ht="12.75">
      <c r="A18" t="s">
        <v>38</v>
      </c>
      <c r="B18" s="4">
        <v>51.1106</v>
      </c>
      <c r="C18" s="2"/>
      <c r="D18" s="2"/>
      <c r="E18" s="2"/>
      <c r="F18" s="2"/>
      <c r="G18" s="2"/>
      <c r="H18" s="2"/>
      <c r="I18" s="2"/>
      <c r="J18" s="2"/>
      <c r="K18" s="2">
        <v>19787</v>
      </c>
      <c r="L18" s="2">
        <v>14796</v>
      </c>
      <c r="M18" s="2">
        <v>16018</v>
      </c>
      <c r="N18" s="2">
        <v>5948</v>
      </c>
      <c r="O18" s="28">
        <v>11897</v>
      </c>
      <c r="P18" s="2">
        <v>11897</v>
      </c>
      <c r="Q18" s="2">
        <v>12008.62</v>
      </c>
      <c r="R18" s="2">
        <v>11897</v>
      </c>
      <c r="S18" s="2">
        <v>11897</v>
      </c>
      <c r="T18" s="75"/>
    </row>
    <row r="19" spans="1:20" ht="12.75" hidden="1">
      <c r="A19" t="s">
        <v>448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8"/>
      <c r="P19" s="2"/>
      <c r="Q19" s="2"/>
      <c r="R19" s="2"/>
      <c r="S19" s="2"/>
      <c r="T19" s="75"/>
    </row>
    <row r="20" spans="1:20" ht="12.75">
      <c r="A20" t="s">
        <v>113</v>
      </c>
      <c r="B20" s="4">
        <v>51.22</v>
      </c>
      <c r="C20" s="2">
        <v>2106</v>
      </c>
      <c r="D20" s="2">
        <v>2159</v>
      </c>
      <c r="E20" s="2">
        <v>2081</v>
      </c>
      <c r="F20" s="2">
        <v>2269</v>
      </c>
      <c r="G20" s="2">
        <v>2017</v>
      </c>
      <c r="H20" s="2">
        <v>2334</v>
      </c>
      <c r="I20" s="2">
        <v>1920</v>
      </c>
      <c r="J20" s="2">
        <v>2119</v>
      </c>
      <c r="K20" s="2">
        <v>2724</v>
      </c>
      <c r="L20" s="2">
        <v>2995</v>
      </c>
      <c r="M20" s="2">
        <v>2391</v>
      </c>
      <c r="N20" s="2">
        <v>890</v>
      </c>
      <c r="O20" s="2">
        <f>(O7+O18+O9+O10+O17)*0.0765</f>
        <v>1750.014</v>
      </c>
      <c r="P20" s="2">
        <v>2062.746</v>
      </c>
      <c r="Q20" s="2">
        <f>(Q7+Q18+Q9+Q10+Q17)*0.0765</f>
        <v>2174.30442</v>
      </c>
      <c r="R20" s="2">
        <f>(R7+R18)*0.0765</f>
        <v>1791.936</v>
      </c>
      <c r="S20" s="2">
        <f>(S7+S18)*0.0765</f>
        <v>1791.936</v>
      </c>
      <c r="T20" s="75">
        <f>(S20-P20)/P20</f>
        <v>-0.13128615932354257</v>
      </c>
    </row>
    <row r="21" spans="1:20" ht="12.75" hidden="1">
      <c r="A21" t="s">
        <v>127</v>
      </c>
      <c r="B21" s="4">
        <v>51.24</v>
      </c>
      <c r="C21" s="2">
        <v>234</v>
      </c>
      <c r="D21" s="2">
        <v>245</v>
      </c>
      <c r="E21" s="2">
        <v>531</v>
      </c>
      <c r="F21" s="2"/>
      <c r="G21" s="2">
        <v>88</v>
      </c>
      <c r="H21" s="2"/>
      <c r="I21" s="2"/>
      <c r="J21" s="2"/>
      <c r="K21" s="2"/>
      <c r="L21" s="2"/>
      <c r="M21" s="2"/>
      <c r="N21" s="2"/>
      <c r="O21" s="28">
        <f>(12/$N$3)*N21</f>
        <v>0</v>
      </c>
      <c r="P21" s="19"/>
      <c r="Q21" s="2"/>
      <c r="R21" s="19"/>
      <c r="S21" s="19"/>
      <c r="T21" s="75"/>
    </row>
    <row r="22" spans="2:20" ht="12.75">
      <c r="B22" s="4"/>
      <c r="C22" s="2"/>
      <c r="D22" s="2"/>
      <c r="E22" s="2"/>
      <c r="F22" s="2"/>
      <c r="G22" s="2"/>
      <c r="H22" s="2"/>
      <c r="I22" s="2"/>
      <c r="J22" s="2">
        <v>40</v>
      </c>
      <c r="K22" s="2"/>
      <c r="L22" s="2"/>
      <c r="M22" s="2"/>
      <c r="N22" s="2"/>
      <c r="O22" s="28"/>
      <c r="P22" s="19"/>
      <c r="Q22" s="2"/>
      <c r="R22" s="19"/>
      <c r="S22" s="19"/>
      <c r="T22" s="75"/>
    </row>
    <row r="23" spans="1:20" ht="12.75" hidden="1">
      <c r="A23" t="s">
        <v>180</v>
      </c>
      <c r="B23" s="4">
        <v>52.121</v>
      </c>
      <c r="C23" s="2"/>
      <c r="D23" s="2"/>
      <c r="E23" s="2"/>
      <c r="F23" s="2"/>
      <c r="G23" s="2"/>
      <c r="H23" s="2"/>
      <c r="I23" s="2"/>
      <c r="J23" s="2">
        <v>928</v>
      </c>
      <c r="K23" s="2"/>
      <c r="L23" s="2"/>
      <c r="M23" s="2"/>
      <c r="N23" s="2"/>
      <c r="O23" s="28"/>
      <c r="P23" s="2"/>
      <c r="Q23" s="2"/>
      <c r="R23" s="2"/>
      <c r="S23" s="2"/>
      <c r="T23" s="75"/>
    </row>
    <row r="24" spans="1:20" ht="12.75">
      <c r="A24" t="s">
        <v>115</v>
      </c>
      <c r="B24" s="4">
        <v>52.32</v>
      </c>
      <c r="C24" s="2">
        <v>349</v>
      </c>
      <c r="D24" s="2">
        <v>517</v>
      </c>
      <c r="E24" s="2">
        <v>489</v>
      </c>
      <c r="F24" s="2">
        <v>559</v>
      </c>
      <c r="G24" s="2">
        <v>374</v>
      </c>
      <c r="H24" s="2">
        <v>391</v>
      </c>
      <c r="I24" s="2">
        <v>417</v>
      </c>
      <c r="J24" s="2">
        <v>513</v>
      </c>
      <c r="K24" s="2">
        <v>442</v>
      </c>
      <c r="L24" s="2">
        <v>491</v>
      </c>
      <c r="M24" s="2">
        <v>464</v>
      </c>
      <c r="N24" s="2">
        <v>221</v>
      </c>
      <c r="O24" s="28">
        <f>(12/$N$3)*N24</f>
        <v>442</v>
      </c>
      <c r="P24" s="2">
        <v>500</v>
      </c>
      <c r="Q24" s="2">
        <v>500</v>
      </c>
      <c r="R24" s="2">
        <v>500</v>
      </c>
      <c r="S24" s="2">
        <v>500</v>
      </c>
      <c r="T24" s="75">
        <f>(S24-P24)/P24</f>
        <v>0</v>
      </c>
    </row>
    <row r="25" spans="1:20" ht="12.75">
      <c r="A25" t="s">
        <v>909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8"/>
      <c r="P25" s="2"/>
      <c r="Q25" s="2">
        <f>155+229</f>
        <v>384</v>
      </c>
      <c r="R25" s="2"/>
      <c r="S25" s="2"/>
      <c r="T25" s="75"/>
    </row>
    <row r="26" spans="1:20" ht="11.25" customHeight="1">
      <c r="A26" t="s">
        <v>116</v>
      </c>
      <c r="B26" s="4">
        <v>52.321</v>
      </c>
      <c r="C26" s="2">
        <v>1637</v>
      </c>
      <c r="D26" s="2">
        <v>1612</v>
      </c>
      <c r="E26" s="2">
        <v>874</v>
      </c>
      <c r="F26" s="2">
        <v>1100</v>
      </c>
      <c r="G26" s="2">
        <v>1241</v>
      </c>
      <c r="H26" s="2">
        <v>2054</v>
      </c>
      <c r="I26" s="2">
        <v>2746</v>
      </c>
      <c r="J26" s="2">
        <v>2982</v>
      </c>
      <c r="K26" s="2">
        <v>1938</v>
      </c>
      <c r="L26" s="2">
        <v>2165</v>
      </c>
      <c r="M26" s="2">
        <v>1800</v>
      </c>
      <c r="N26" s="2">
        <v>70</v>
      </c>
      <c r="O26" s="28">
        <v>2000</v>
      </c>
      <c r="P26" s="2">
        <v>2000</v>
      </c>
      <c r="Q26" s="2">
        <v>2500</v>
      </c>
      <c r="R26" s="2">
        <v>2000</v>
      </c>
      <c r="S26" s="2">
        <v>2000</v>
      </c>
      <c r="T26" s="75">
        <f>(S26-P26)/P26</f>
        <v>0</v>
      </c>
    </row>
    <row r="27" spans="1:20" ht="12.75" hidden="1">
      <c r="A27" t="s">
        <v>853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8"/>
      <c r="P27" s="2"/>
      <c r="Q27" s="2"/>
      <c r="R27" s="2"/>
      <c r="S27" s="2"/>
      <c r="T27" s="75"/>
    </row>
    <row r="28" spans="1:21" ht="12.75">
      <c r="A28" t="s">
        <v>128</v>
      </c>
      <c r="B28" s="4">
        <v>52.35</v>
      </c>
      <c r="C28" s="2">
        <v>821</v>
      </c>
      <c r="D28" s="2"/>
      <c r="E28" s="2">
        <v>71</v>
      </c>
      <c r="F28" s="2">
        <v>561</v>
      </c>
      <c r="G28" s="2">
        <v>635</v>
      </c>
      <c r="H28" s="2">
        <v>1218</v>
      </c>
      <c r="I28" s="2">
        <v>1129</v>
      </c>
      <c r="J28" s="2">
        <v>1393</v>
      </c>
      <c r="K28" s="2">
        <v>1367</v>
      </c>
      <c r="L28" s="2">
        <v>0</v>
      </c>
      <c r="M28" s="2">
        <v>1096</v>
      </c>
      <c r="N28" s="2">
        <v>0</v>
      </c>
      <c r="O28" s="28">
        <v>750</v>
      </c>
      <c r="P28" s="2">
        <v>750</v>
      </c>
      <c r="Q28" s="2">
        <v>1100</v>
      </c>
      <c r="R28" s="2">
        <v>750</v>
      </c>
      <c r="S28" s="2">
        <v>750</v>
      </c>
      <c r="T28" s="75"/>
      <c r="U28" s="30" t="s">
        <v>463</v>
      </c>
    </row>
    <row r="29" spans="1:21" ht="12.75">
      <c r="A29" t="s">
        <v>129</v>
      </c>
      <c r="B29" s="4">
        <v>52.37</v>
      </c>
      <c r="C29" s="2"/>
      <c r="D29" s="2"/>
      <c r="E29" s="2">
        <v>238</v>
      </c>
      <c r="F29" s="2">
        <v>355</v>
      </c>
      <c r="G29" s="2">
        <v>765</v>
      </c>
      <c r="H29" s="2">
        <v>1200</v>
      </c>
      <c r="I29" s="2">
        <v>935</v>
      </c>
      <c r="J29" s="2">
        <v>1260</v>
      </c>
      <c r="K29" s="2">
        <v>1300</v>
      </c>
      <c r="L29" s="2">
        <v>1120</v>
      </c>
      <c r="M29" s="2">
        <v>630</v>
      </c>
      <c r="N29" s="2">
        <v>0</v>
      </c>
      <c r="O29" s="28">
        <v>675</v>
      </c>
      <c r="P29" s="2">
        <v>675</v>
      </c>
      <c r="Q29" s="2">
        <v>1200</v>
      </c>
      <c r="R29" s="2">
        <v>675</v>
      </c>
      <c r="S29" s="2">
        <v>675</v>
      </c>
      <c r="T29" s="75"/>
      <c r="U29" s="30" t="s">
        <v>463</v>
      </c>
    </row>
    <row r="30" spans="1:20" ht="12.75" hidden="1">
      <c r="A30" t="s">
        <v>118</v>
      </c>
      <c r="B30" s="4">
        <v>52.3602</v>
      </c>
      <c r="C30" s="2"/>
      <c r="D30" s="2"/>
      <c r="E30" s="2"/>
      <c r="F30" s="2"/>
      <c r="G30" s="2">
        <v>60</v>
      </c>
      <c r="H30" s="2"/>
      <c r="I30" s="2"/>
      <c r="J30" s="2"/>
      <c r="K30" s="2"/>
      <c r="L30" s="2"/>
      <c r="M30" s="2"/>
      <c r="N30" s="2"/>
      <c r="O30" s="28"/>
      <c r="P30" s="2"/>
      <c r="Q30" s="2"/>
      <c r="R30" s="2"/>
      <c r="S30" s="2"/>
      <c r="T30" s="75"/>
    </row>
    <row r="31" spans="1:20" ht="12.75">
      <c r="A31" t="s">
        <v>123</v>
      </c>
      <c r="B31" s="4">
        <v>53.171</v>
      </c>
      <c r="C31" s="2">
        <v>307</v>
      </c>
      <c r="D31" s="2">
        <v>259</v>
      </c>
      <c r="E31" s="2">
        <v>295</v>
      </c>
      <c r="F31" s="2">
        <v>386</v>
      </c>
      <c r="G31" s="2">
        <v>336</v>
      </c>
      <c r="H31" s="2">
        <v>435</v>
      </c>
      <c r="I31" s="2">
        <v>350</v>
      </c>
      <c r="J31" s="2">
        <v>459</v>
      </c>
      <c r="K31" s="2">
        <v>408</v>
      </c>
      <c r="L31" s="2">
        <f>1975-44</f>
        <v>1931</v>
      </c>
      <c r="M31" s="2">
        <v>584</v>
      </c>
      <c r="N31" s="2">
        <v>47</v>
      </c>
      <c r="O31" s="28">
        <v>600</v>
      </c>
      <c r="P31" s="2">
        <v>600</v>
      </c>
      <c r="Q31" s="2">
        <v>750</v>
      </c>
      <c r="R31" s="2">
        <v>600</v>
      </c>
      <c r="S31" s="2">
        <v>600</v>
      </c>
      <c r="T31" s="75">
        <f>(S31-P31)/P31</f>
        <v>0</v>
      </c>
    </row>
    <row r="32" spans="1:20" ht="12.75" hidden="1">
      <c r="A32" t="s">
        <v>581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8"/>
      <c r="P32" s="5"/>
      <c r="Q32" s="2"/>
      <c r="R32" s="5"/>
      <c r="S32" s="5"/>
      <c r="T32" s="75"/>
    </row>
    <row r="33" spans="1:20" ht="12.75" hidden="1">
      <c r="A33" t="s">
        <v>692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8"/>
      <c r="P33" s="5"/>
      <c r="Q33" s="2"/>
      <c r="R33" s="5"/>
      <c r="S33" s="5"/>
      <c r="T33" s="75"/>
    </row>
    <row r="34" spans="1:20" ht="12.75" hidden="1">
      <c r="A34" t="s">
        <v>733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8"/>
      <c r="P34" s="5"/>
      <c r="Q34" s="2"/>
      <c r="R34" s="2"/>
      <c r="S34" s="5"/>
      <c r="T34" s="75"/>
    </row>
    <row r="35" spans="1:22" ht="12.75" hidden="1">
      <c r="A35" t="s">
        <v>203</v>
      </c>
      <c r="B35" s="4">
        <v>54.24</v>
      </c>
      <c r="C35" s="5"/>
      <c r="D35" s="5"/>
      <c r="E35" s="5"/>
      <c r="F35" s="2">
        <v>711</v>
      </c>
      <c r="G35" s="2">
        <v>279</v>
      </c>
      <c r="H35" s="2"/>
      <c r="I35" s="2">
        <v>25</v>
      </c>
      <c r="J35" s="2"/>
      <c r="K35" s="2"/>
      <c r="L35" s="2"/>
      <c r="M35" s="2"/>
      <c r="N35" s="2"/>
      <c r="O35" s="28"/>
      <c r="P35" s="2"/>
      <c r="Q35" s="2"/>
      <c r="R35" s="2"/>
      <c r="S35" s="2"/>
      <c r="T35" s="48"/>
      <c r="V35" t="s">
        <v>601</v>
      </c>
    </row>
    <row r="36" spans="1:20" ht="12.75">
      <c r="A36" t="s">
        <v>832</v>
      </c>
      <c r="B36" s="4"/>
      <c r="C36" s="5"/>
      <c r="D36" s="5"/>
      <c r="E36" s="5"/>
      <c r="F36" s="2"/>
      <c r="G36" s="2"/>
      <c r="H36" s="2"/>
      <c r="I36" s="2"/>
      <c r="J36" s="2"/>
      <c r="K36" s="2"/>
      <c r="L36" s="2">
        <v>125</v>
      </c>
      <c r="M36" s="2"/>
      <c r="N36" s="2"/>
      <c r="O36" s="28"/>
      <c r="P36" s="2"/>
      <c r="Q36" s="2">
        <v>250</v>
      </c>
      <c r="R36" s="2"/>
      <c r="S36" s="2"/>
      <c r="T36" s="48"/>
    </row>
    <row r="37" spans="2:20" ht="12.7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48"/>
    </row>
    <row r="38" spans="1:20" ht="12.75">
      <c r="A38" s="6" t="s">
        <v>91</v>
      </c>
      <c r="B38" s="6"/>
      <c r="C38" s="7">
        <f>SUM(C7:C32)</f>
        <v>33390</v>
      </c>
      <c r="D38" s="8">
        <f>SUM(D7:D35)</f>
        <v>33566</v>
      </c>
      <c r="E38" s="8">
        <f>SUM(E7:E35)</f>
        <v>32383</v>
      </c>
      <c r="F38" s="8">
        <f>SUM(F7:F35)</f>
        <v>36267</v>
      </c>
      <c r="G38" s="8">
        <f>SUM(G7:G35)</f>
        <v>32659</v>
      </c>
      <c r="H38" s="8">
        <f>SUM(H7:H35)</f>
        <v>38139</v>
      </c>
      <c r="I38" s="8">
        <v>32727</v>
      </c>
      <c r="J38" s="8">
        <f>SUM(J7:J35)</f>
        <v>37396</v>
      </c>
      <c r="K38" s="8">
        <f>SUM(K7:K35)</f>
        <v>44368</v>
      </c>
      <c r="L38" s="8">
        <v>47976</v>
      </c>
      <c r="M38" s="8">
        <v>40128</v>
      </c>
      <c r="N38" s="8">
        <f>SUM(N7:N35)</f>
        <v>12336</v>
      </c>
      <c r="O38" s="8">
        <f>SUM(O7:O35)</f>
        <v>32243.014</v>
      </c>
      <c r="P38" s="8">
        <f>SUM(P7:P37)</f>
        <v>33551.746</v>
      </c>
      <c r="Q38" s="8">
        <f>SUM(Q7:Q37)</f>
        <v>37280.58442</v>
      </c>
      <c r="R38" s="8">
        <f>SUM(R7:R37)</f>
        <v>29740.936</v>
      </c>
      <c r="S38" s="8">
        <f>SUM(S7:S37)</f>
        <v>32890.936</v>
      </c>
      <c r="T38" s="49">
        <f>(S38-P38)/P38</f>
        <v>-0.01969524924276661</v>
      </c>
    </row>
    <row r="39" spans="17:19" ht="12.75">
      <c r="Q39" s="2"/>
      <c r="R39" s="2"/>
      <c r="S39" s="5"/>
    </row>
    <row r="40" spans="16:18" ht="12.75">
      <c r="P40" s="20" t="s">
        <v>445</v>
      </c>
      <c r="Q40" s="20"/>
      <c r="R40" s="52">
        <f>Q38-R38</f>
        <v>7539.648419999998</v>
      </c>
    </row>
    <row r="41" spans="16:19" ht="12.75">
      <c r="P41" s="20" t="s">
        <v>668</v>
      </c>
      <c r="Q41" s="20"/>
      <c r="R41" s="52">
        <f>P38-R38</f>
        <v>3810.8099999999977</v>
      </c>
      <c r="S41" s="52"/>
    </row>
    <row r="42" spans="16:19" ht="12.75">
      <c r="P42" s="20" t="s">
        <v>397</v>
      </c>
      <c r="Q42" s="20"/>
      <c r="R42" s="52">
        <f>R38-S38</f>
        <v>-3150</v>
      </c>
      <c r="S42" s="52"/>
    </row>
    <row r="44" ht="12.75">
      <c r="A44" t="s">
        <v>906</v>
      </c>
    </row>
    <row r="45" ht="12.75">
      <c r="A45" s="30" t="s">
        <v>865</v>
      </c>
    </row>
    <row r="46" spans="15:16" ht="12.75">
      <c r="O46" s="136"/>
      <c r="P46" s="136"/>
    </row>
    <row r="47" ht="12.75">
      <c r="A47" s="6"/>
    </row>
    <row r="51" spans="15:16" ht="12.75">
      <c r="O51" s="5"/>
      <c r="P51" s="5"/>
    </row>
    <row r="52" ht="12.75">
      <c r="O52" s="5"/>
    </row>
    <row r="53" spans="15:16" ht="12.75">
      <c r="O53" s="5"/>
      <c r="P53" s="5"/>
    </row>
    <row r="54" ht="12.75">
      <c r="P54" s="5"/>
    </row>
    <row r="55" spans="21:23" ht="12.75">
      <c r="U55" s="2"/>
      <c r="W55" s="5"/>
    </row>
    <row r="56" spans="15:23" ht="12.75">
      <c r="O56" s="5"/>
      <c r="P56" s="5"/>
      <c r="U56" s="2"/>
      <c r="W56" s="5"/>
    </row>
    <row r="57" ht="12.75">
      <c r="V57" s="2"/>
    </row>
    <row r="58" spans="21:23" ht="12.75">
      <c r="U58" s="5"/>
      <c r="V58" s="2"/>
      <c r="W58" s="5"/>
    </row>
    <row r="59" spans="16:22" ht="12.75">
      <c r="P59" s="5"/>
      <c r="V59" s="2"/>
    </row>
    <row r="60" spans="16:22" ht="12.75">
      <c r="P60" s="5"/>
      <c r="V60" s="2"/>
    </row>
    <row r="61" ht="12.75">
      <c r="P61" s="5"/>
    </row>
    <row r="62" ht="12.75">
      <c r="W62" s="5"/>
    </row>
    <row r="63" spans="22:23" ht="12.75">
      <c r="V63" s="2"/>
      <c r="W63" s="5"/>
    </row>
    <row r="64" spans="22:23" ht="12.75">
      <c r="V64" s="2"/>
      <c r="W64" s="5"/>
    </row>
    <row r="65" spans="3:22" ht="12.75">
      <c r="C65" s="2"/>
      <c r="D65" s="2"/>
      <c r="E65" s="2"/>
      <c r="F65" s="2"/>
      <c r="G65" s="2"/>
      <c r="H65" s="2"/>
      <c r="I65" s="2"/>
      <c r="J65" s="2"/>
      <c r="K65" s="2"/>
      <c r="Q65" s="2"/>
      <c r="R65" s="2"/>
      <c r="S65" s="2"/>
      <c r="V65" s="2"/>
    </row>
    <row r="66" spans="3:23" ht="12.75">
      <c r="C66" s="2"/>
      <c r="D66" s="2"/>
      <c r="E66" s="2"/>
      <c r="F66" s="2"/>
      <c r="G66" s="2"/>
      <c r="H66" s="2"/>
      <c r="I66" s="2"/>
      <c r="J66" s="2"/>
      <c r="K66" s="2"/>
      <c r="Q66" s="2"/>
      <c r="R66" s="2"/>
      <c r="S66" s="2"/>
      <c r="V66" s="2"/>
      <c r="W66" s="5"/>
    </row>
    <row r="67" spans="3:22" ht="12.75">
      <c r="C67" s="2"/>
      <c r="D67" s="2"/>
      <c r="E67" s="2"/>
      <c r="F67" s="2"/>
      <c r="G67" s="2"/>
      <c r="H67" s="2"/>
      <c r="I67" s="2"/>
      <c r="J67" s="2"/>
      <c r="K67" s="2"/>
      <c r="Q67" s="2"/>
      <c r="R67" s="2"/>
      <c r="S67" s="2"/>
      <c r="V67" s="2"/>
    </row>
    <row r="68" spans="3:22" ht="12.75">
      <c r="C68" s="2"/>
      <c r="D68" s="2"/>
      <c r="E68" s="2"/>
      <c r="F68" s="2"/>
      <c r="G68" s="2"/>
      <c r="H68" s="2"/>
      <c r="I68" s="2"/>
      <c r="J68" s="2"/>
      <c r="K68" s="2"/>
      <c r="O68" s="5"/>
      <c r="P68" s="5"/>
      <c r="Q68" s="2"/>
      <c r="R68" s="2"/>
      <c r="S68" s="2"/>
      <c r="V68" s="2"/>
    </row>
    <row r="69" spans="3:22" ht="12.75">
      <c r="C69" s="2"/>
      <c r="D69" s="2"/>
      <c r="E69" s="2"/>
      <c r="F69" s="2"/>
      <c r="G69" s="2"/>
      <c r="H69" s="2"/>
      <c r="I69" s="2"/>
      <c r="J69" s="2"/>
      <c r="K69" s="2"/>
      <c r="Q69" s="2"/>
      <c r="R69" s="2"/>
      <c r="S69" s="2"/>
      <c r="V69" s="2"/>
    </row>
    <row r="70" spans="3:22" ht="12.75">
      <c r="C70" s="2"/>
      <c r="D70" s="2"/>
      <c r="E70" s="2"/>
      <c r="F70" s="2"/>
      <c r="G70" s="2"/>
      <c r="H70" s="2"/>
      <c r="I70" s="2"/>
      <c r="J70" s="2"/>
      <c r="K70" s="2"/>
      <c r="Q70" s="2"/>
      <c r="R70" s="2"/>
      <c r="S70" s="2"/>
      <c r="V70" s="2"/>
    </row>
    <row r="71" ht="12.75">
      <c r="V71" s="2"/>
    </row>
    <row r="72" ht="12.75">
      <c r="V72" s="2"/>
    </row>
    <row r="73" spans="21:23" ht="12.75">
      <c r="U73" s="5"/>
      <c r="V73" s="2"/>
      <c r="W73" s="5"/>
    </row>
    <row r="75" ht="12.75">
      <c r="U75" s="102"/>
    </row>
    <row r="80" ht="12.75">
      <c r="T80" s="2"/>
    </row>
    <row r="81" ht="12.75">
      <c r="T81" s="2"/>
    </row>
    <row r="82" ht="12.75">
      <c r="T82" s="2"/>
    </row>
    <row r="83" ht="12.75">
      <c r="T83" s="2"/>
    </row>
    <row r="84" ht="12.75">
      <c r="T84" s="2"/>
    </row>
    <row r="85" ht="12.75">
      <c r="T85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4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7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6" width="11.7109375" style="0" hidden="1" customWidth="1"/>
    <col min="7" max="8" width="8.00390625" style="0" hidden="1" customWidth="1"/>
    <col min="9" max="9" width="7.140625" style="0" hidden="1" customWidth="1"/>
    <col min="10" max="10" width="11.7109375" style="0" hidden="1" customWidth="1"/>
    <col min="11" max="14" width="11.7109375" style="0" customWidth="1"/>
    <col min="15" max="15" width="13.421875" style="0" bestFit="1" customWidth="1"/>
    <col min="16" max="17" width="11.7109375" style="0" customWidth="1"/>
    <col min="18" max="18" width="10.7109375" style="0" bestFit="1" customWidth="1"/>
    <col min="19" max="19" width="11.7109375" style="0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ht="12.75">
      <c r="A2" t="s">
        <v>82</v>
      </c>
    </row>
    <row r="3" spans="1:20" ht="12.75">
      <c r="A3" s="6" t="s">
        <v>401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9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35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3" t="s">
        <v>90</v>
      </c>
    </row>
    <row r="7" spans="1:20" ht="12.75">
      <c r="A7" t="s">
        <v>605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f>16872+613</f>
        <v>17485</v>
      </c>
      <c r="M7" s="2">
        <v>18623</v>
      </c>
      <c r="N7" s="2">
        <v>6407</v>
      </c>
      <c r="O7" s="28">
        <f>(12/$N$3)*N7</f>
        <v>12814</v>
      </c>
      <c r="P7" s="2">
        <v>20000</v>
      </c>
      <c r="Q7" s="2">
        <v>20000</v>
      </c>
      <c r="R7" s="2">
        <v>20000</v>
      </c>
      <c r="S7" s="2">
        <v>20000</v>
      </c>
      <c r="T7" s="48">
        <f>(S7-P7)/P7</f>
        <v>0</v>
      </c>
    </row>
    <row r="8" spans="1:21" s="164" customFormat="1" ht="12.75">
      <c r="A8" s="30" t="s">
        <v>866</v>
      </c>
      <c r="B8" s="31">
        <v>52.1251</v>
      </c>
      <c r="C8" s="19"/>
      <c r="D8" s="30"/>
      <c r="E8" s="19"/>
      <c r="F8" s="19"/>
      <c r="G8" s="19"/>
      <c r="H8" s="19"/>
      <c r="I8" s="19"/>
      <c r="J8" s="19"/>
      <c r="K8" s="19"/>
      <c r="L8" s="19"/>
      <c r="M8" s="19">
        <v>28796</v>
      </c>
      <c r="N8" s="19">
        <v>12462</v>
      </c>
      <c r="O8" s="19">
        <v>20000</v>
      </c>
      <c r="P8" s="19">
        <v>10000</v>
      </c>
      <c r="Q8" s="19">
        <v>15000</v>
      </c>
      <c r="R8" s="19">
        <v>15000</v>
      </c>
      <c r="S8" s="19">
        <v>15000</v>
      </c>
      <c r="T8" s="108"/>
      <c r="U8" s="30" t="s">
        <v>338</v>
      </c>
    </row>
    <row r="9" spans="1:20" ht="12.75">
      <c r="A9" t="s">
        <v>305</v>
      </c>
      <c r="B9" s="4">
        <v>52.1211</v>
      </c>
      <c r="C9" s="2"/>
      <c r="D9" s="2"/>
      <c r="E9" s="2">
        <v>3076</v>
      </c>
      <c r="F9" s="2">
        <v>18669</v>
      </c>
      <c r="G9" s="2">
        <v>17991</v>
      </c>
      <c r="H9" s="2">
        <v>38452</v>
      </c>
      <c r="I9" s="2">
        <f>35146+1733</f>
        <v>36879</v>
      </c>
      <c r="J9" s="2">
        <v>28400</v>
      </c>
      <c r="K9" s="2">
        <v>76325</v>
      </c>
      <c r="L9" s="2">
        <f>38335+3609</f>
        <v>41944</v>
      </c>
      <c r="M9" s="2">
        <v>56762</v>
      </c>
      <c r="N9" s="2">
        <v>9635</v>
      </c>
      <c r="O9" s="28">
        <f>(12/$N$3)*N9</f>
        <v>19270</v>
      </c>
      <c r="P9" s="2">
        <v>40000</v>
      </c>
      <c r="Q9" s="2">
        <v>40000</v>
      </c>
      <c r="R9" s="2">
        <v>40000</v>
      </c>
      <c r="S9" s="2">
        <v>40000</v>
      </c>
      <c r="T9" s="48">
        <f>(S9-P9)/P9</f>
        <v>0</v>
      </c>
    </row>
    <row r="10" spans="2:20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8"/>
    </row>
    <row r="11" spans="1:20" ht="12.75">
      <c r="A11" s="6" t="s">
        <v>91</v>
      </c>
      <c r="B11" s="6"/>
      <c r="C11" s="8">
        <f>SUM(C7:C9)</f>
        <v>85176</v>
      </c>
      <c r="D11" s="8">
        <f>SUM(D7:D9)</f>
        <v>74778</v>
      </c>
      <c r="E11" s="8">
        <f>SUM(E7:E10)</f>
        <v>61939</v>
      </c>
      <c r="F11" s="8">
        <f>SUM(F7:F10)</f>
        <v>57048</v>
      </c>
      <c r="G11" s="8">
        <f>SUM(G7:G10)</f>
        <v>68499</v>
      </c>
      <c r="H11" s="8">
        <f>SUM(H7:H10)</f>
        <v>73693</v>
      </c>
      <c r="I11" s="8">
        <v>73151</v>
      </c>
      <c r="J11" s="8">
        <v>54328</v>
      </c>
      <c r="K11" s="8">
        <f>SUM(K7:K9)</f>
        <v>93011</v>
      </c>
      <c r="L11" s="8">
        <v>59429</v>
      </c>
      <c r="M11" s="8">
        <v>75385</v>
      </c>
      <c r="N11" s="8">
        <f>SUM(N7:N9)</f>
        <v>28504</v>
      </c>
      <c r="O11" s="8">
        <f>SUM(O7:O9)</f>
        <v>52084</v>
      </c>
      <c r="P11" s="8">
        <f>SUM(P7:P10)</f>
        <v>70000</v>
      </c>
      <c r="Q11" s="8">
        <f>SUM(Q7:Q10)</f>
        <v>75000</v>
      </c>
      <c r="R11" s="8">
        <f>SUM(R7:R10)</f>
        <v>75000</v>
      </c>
      <c r="S11" s="8">
        <f>SUM(S7:S10)</f>
        <v>75000</v>
      </c>
      <c r="T11" s="56">
        <f>(S11-P11)/P11</f>
        <v>0.07142857142857142</v>
      </c>
    </row>
    <row r="13" spans="16:18" ht="12.75">
      <c r="P13" s="20" t="s">
        <v>445</v>
      </c>
      <c r="Q13" s="20"/>
      <c r="R13" s="52">
        <f>Q11-R11</f>
        <v>0</v>
      </c>
    </row>
    <row r="14" spans="16:18" ht="12.75">
      <c r="P14" s="20" t="s">
        <v>668</v>
      </c>
      <c r="Q14" s="20"/>
      <c r="R14" s="52">
        <f>P11-R11</f>
        <v>-5000</v>
      </c>
    </row>
    <row r="15" spans="16:18" ht="12.75">
      <c r="P15" s="20" t="s">
        <v>397</v>
      </c>
      <c r="Q15" s="20"/>
      <c r="R15" s="52">
        <f>R11-S11</f>
        <v>0</v>
      </c>
    </row>
    <row r="16" ht="12.75">
      <c r="A16" s="30" t="s">
        <v>965</v>
      </c>
    </row>
    <row r="18" ht="12.75">
      <c r="V18" t="s">
        <v>601</v>
      </c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58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10" width="11.7109375" style="0" hidden="1" customWidth="1"/>
    <col min="11" max="14" width="11.7109375" style="0" customWidth="1"/>
    <col min="15" max="15" width="13.421875" style="0" bestFit="1" customWidth="1"/>
    <col min="16" max="16" width="11.7109375" style="0" customWidth="1"/>
    <col min="17" max="18" width="12.00390625" style="0" bestFit="1" customWidth="1"/>
    <col min="19" max="19" width="11.7109375" style="0" customWidth="1"/>
    <col min="20" max="20" width="10.28125" style="0" bestFit="1" customWidth="1"/>
    <col min="21" max="21" width="11.7109375" style="0" customWidth="1"/>
  </cols>
  <sheetData>
    <row r="1" ht="12.75">
      <c r="A1" t="s">
        <v>81</v>
      </c>
    </row>
    <row r="2" spans="1:14" ht="12.75">
      <c r="A2" t="s">
        <v>82</v>
      </c>
      <c r="L2" s="136"/>
      <c r="M2" s="136"/>
      <c r="N2" s="136"/>
    </row>
    <row r="3" spans="1:20" ht="12.75">
      <c r="A3" s="6" t="s">
        <v>402</v>
      </c>
      <c r="N3" s="53">
        <v>6</v>
      </c>
      <c r="O3" s="9"/>
      <c r="T3" s="1" t="s">
        <v>399</v>
      </c>
    </row>
    <row r="4" spans="3:20" ht="12.75">
      <c r="C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9" t="s">
        <v>395</v>
      </c>
      <c r="O4" s="9"/>
      <c r="P4" s="1"/>
      <c r="Q4" s="3" t="s">
        <v>86</v>
      </c>
      <c r="R4" s="3" t="s">
        <v>548</v>
      </c>
      <c r="S4" s="3" t="s">
        <v>549</v>
      </c>
      <c r="T4" s="1" t="s">
        <v>400</v>
      </c>
    </row>
    <row r="5" spans="3:20" ht="12.75">
      <c r="C5" s="1" t="s">
        <v>84</v>
      </c>
      <c r="D5" s="1" t="s">
        <v>386</v>
      </c>
      <c r="E5" s="1" t="s">
        <v>386</v>
      </c>
      <c r="F5" s="1" t="s">
        <v>386</v>
      </c>
      <c r="G5" s="1" t="s">
        <v>386</v>
      </c>
      <c r="H5" s="1" t="s">
        <v>386</v>
      </c>
      <c r="I5" s="1" t="s">
        <v>386</v>
      </c>
      <c r="J5" s="1" t="s">
        <v>386</v>
      </c>
      <c r="K5" s="1" t="s">
        <v>386</v>
      </c>
      <c r="L5" s="1" t="s">
        <v>386</v>
      </c>
      <c r="M5" s="1" t="s">
        <v>386</v>
      </c>
      <c r="N5" s="1" t="s">
        <v>386</v>
      </c>
      <c r="O5" s="1" t="s">
        <v>396</v>
      </c>
      <c r="P5" s="1" t="s">
        <v>316</v>
      </c>
      <c r="Q5" s="3" t="s">
        <v>87</v>
      </c>
      <c r="R5" s="3" t="s">
        <v>88</v>
      </c>
      <c r="S5" s="3" t="s">
        <v>89</v>
      </c>
      <c r="T5" s="1" t="s">
        <v>388</v>
      </c>
    </row>
    <row r="6" spans="1:21" ht="12.75">
      <c r="A6" t="s">
        <v>93</v>
      </c>
      <c r="C6" s="1">
        <v>1999</v>
      </c>
      <c r="D6" s="35">
        <v>2000</v>
      </c>
      <c r="E6" s="35">
        <v>2001</v>
      </c>
      <c r="F6" s="35">
        <v>2002</v>
      </c>
      <c r="G6" s="35">
        <v>2003</v>
      </c>
      <c r="H6" s="35">
        <v>2004</v>
      </c>
      <c r="I6" s="35">
        <v>2005</v>
      </c>
      <c r="J6" s="35">
        <v>2006</v>
      </c>
      <c r="K6" s="35">
        <v>2007</v>
      </c>
      <c r="L6" s="35">
        <v>2008</v>
      </c>
      <c r="M6" s="35">
        <v>2009</v>
      </c>
      <c r="N6" s="21">
        <v>2010</v>
      </c>
      <c r="O6" s="21">
        <v>2010</v>
      </c>
      <c r="P6" s="21">
        <v>2010</v>
      </c>
      <c r="Q6" s="21">
        <v>2011</v>
      </c>
      <c r="R6" s="21">
        <v>2011</v>
      </c>
      <c r="S6" s="21">
        <v>2011</v>
      </c>
      <c r="T6" s="128" t="s">
        <v>881</v>
      </c>
      <c r="U6" s="54" t="s">
        <v>90</v>
      </c>
    </row>
    <row r="7" spans="1:21" ht="12.75">
      <c r="A7" s="20" t="s">
        <v>604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150437.16</v>
      </c>
      <c r="M7" s="2">
        <v>151575</v>
      </c>
      <c r="N7" s="2">
        <v>78079</v>
      </c>
      <c r="O7" s="2">
        <f>+N7/$N$3*12</f>
        <v>156158</v>
      </c>
      <c r="P7" s="2">
        <v>162397.04</v>
      </c>
      <c r="Q7" s="2">
        <v>164608</v>
      </c>
      <c r="R7" s="2">
        <v>164608.24</v>
      </c>
      <c r="S7" s="2">
        <v>164608.24</v>
      </c>
      <c r="T7" s="75">
        <f>(S7-P7)/P7</f>
        <v>0.01361601172041056</v>
      </c>
      <c r="U7" s="30" t="s">
        <v>959</v>
      </c>
    </row>
    <row r="8" spans="1:21" ht="12.75" hidden="1">
      <c r="A8" t="s">
        <v>287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N8" s="2"/>
      <c r="O8" s="2"/>
      <c r="Q8" s="2"/>
      <c r="T8" s="75"/>
      <c r="U8" s="30"/>
    </row>
    <row r="9" spans="1:21" ht="12.75" hidden="1">
      <c r="A9" t="s">
        <v>834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T9" s="75"/>
      <c r="U9" s="30"/>
    </row>
    <row r="10" spans="1:21" ht="12.75">
      <c r="A10" t="s">
        <v>448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21313</v>
      </c>
      <c r="M10" s="2">
        <v>20875</v>
      </c>
      <c r="N10" s="2">
        <v>11406</v>
      </c>
      <c r="O10" s="2">
        <f>+N10/$N$3*12</f>
        <v>22812</v>
      </c>
      <c r="P10" s="28">
        <v>24600</v>
      </c>
      <c r="Q10" s="28">
        <v>24800</v>
      </c>
      <c r="R10" s="28">
        <v>24800</v>
      </c>
      <c r="S10" s="28">
        <v>24800</v>
      </c>
      <c r="T10" s="75">
        <f>(S10-P10)/P10</f>
        <v>0.008130081300813009</v>
      </c>
      <c r="U10" s="30"/>
    </row>
    <row r="11" spans="1:21" ht="12.75">
      <c r="A11" t="s">
        <v>113</v>
      </c>
      <c r="B11" s="4">
        <v>51.22</v>
      </c>
      <c r="C11" s="2">
        <v>8290</v>
      </c>
      <c r="D11" s="2">
        <v>9431</v>
      </c>
      <c r="E11" s="2">
        <v>10050</v>
      </c>
      <c r="F11" s="2">
        <v>11671</v>
      </c>
      <c r="G11" s="2">
        <v>11753</v>
      </c>
      <c r="H11" s="2">
        <v>12519</v>
      </c>
      <c r="I11" s="2">
        <v>10355</v>
      </c>
      <c r="J11" s="2">
        <v>10548</v>
      </c>
      <c r="K11" s="2">
        <v>10813</v>
      </c>
      <c r="L11" s="2">
        <v>11052.49</v>
      </c>
      <c r="M11" s="2">
        <v>11055</v>
      </c>
      <c r="N11" s="2">
        <v>5735</v>
      </c>
      <c r="O11" s="2">
        <f>(O7+O8)*0.0765</f>
        <v>11946.087</v>
      </c>
      <c r="P11" s="2">
        <v>12423.37356</v>
      </c>
      <c r="Q11" s="2">
        <f>(Q7+Q8)*0.0765</f>
        <v>12592.512</v>
      </c>
      <c r="R11" s="2">
        <f>(R7+R8)*0.0765</f>
        <v>12592.530359999999</v>
      </c>
      <c r="S11" s="2">
        <f>(S7+S8)*0.0765</f>
        <v>12592.530359999999</v>
      </c>
      <c r="T11" s="75">
        <f>(S11-P11)/P11</f>
        <v>0.013616011720410574</v>
      </c>
      <c r="U11" s="30"/>
    </row>
    <row r="12" spans="1:20" ht="12.75">
      <c r="A12" t="s">
        <v>127</v>
      </c>
      <c r="B12" s="4">
        <v>51.24</v>
      </c>
      <c r="C12" s="2">
        <v>1980</v>
      </c>
      <c r="D12" s="2">
        <v>2072</v>
      </c>
      <c r="E12" s="2">
        <v>2319</v>
      </c>
      <c r="F12" s="2">
        <v>2621</v>
      </c>
      <c r="G12" s="2">
        <v>2700</v>
      </c>
      <c r="H12" s="2">
        <v>3037</v>
      </c>
      <c r="I12" s="2">
        <v>1493</v>
      </c>
      <c r="J12" s="2">
        <v>1991</v>
      </c>
      <c r="K12" s="2">
        <v>3068</v>
      </c>
      <c r="L12" s="2">
        <v>2818</v>
      </c>
      <c r="M12" s="2">
        <v>936</v>
      </c>
      <c r="N12" s="2">
        <v>1569</v>
      </c>
      <c r="O12" s="2">
        <f>+N12/$N$3*12</f>
        <v>3138</v>
      </c>
      <c r="P12" s="2">
        <v>4800</v>
      </c>
      <c r="Q12" s="2">
        <v>5000</v>
      </c>
      <c r="R12" s="2">
        <v>5000</v>
      </c>
      <c r="S12" s="2">
        <v>3500</v>
      </c>
      <c r="T12" s="75">
        <f>(S12-P12)/P12</f>
        <v>-0.2708333333333333</v>
      </c>
    </row>
    <row r="13" spans="1:20" ht="12.75">
      <c r="A13" t="s">
        <v>653</v>
      </c>
      <c r="B13" s="4">
        <v>51.26</v>
      </c>
      <c r="C13" s="2"/>
      <c r="D13" s="2"/>
      <c r="E13" s="2"/>
      <c r="F13" s="2"/>
      <c r="G13" s="2"/>
      <c r="H13" s="2"/>
      <c r="I13" s="2"/>
      <c r="J13" s="2">
        <v>3262</v>
      </c>
      <c r="K13" s="2"/>
      <c r="L13" s="2"/>
      <c r="M13" s="2"/>
      <c r="N13" s="2"/>
      <c r="O13" s="2"/>
      <c r="P13" s="2"/>
      <c r="Q13" s="2"/>
      <c r="R13" s="2"/>
      <c r="S13" s="2"/>
      <c r="T13" s="75"/>
    </row>
    <row r="14" spans="2:20" ht="12.75">
      <c r="B14" s="4"/>
      <c r="C14" s="2"/>
      <c r="D14" s="2"/>
      <c r="E14" s="2"/>
      <c r="F14" s="2"/>
      <c r="G14" s="2"/>
      <c r="H14" s="2"/>
      <c r="I14" s="2"/>
      <c r="J14" s="2">
        <v>208</v>
      </c>
      <c r="K14" s="2"/>
      <c r="L14" s="2"/>
      <c r="M14" s="2"/>
      <c r="N14" s="2"/>
      <c r="O14" s="2"/>
      <c r="Q14" s="2"/>
      <c r="T14" s="75"/>
    </row>
    <row r="15" spans="1:21" ht="12.75">
      <c r="A15" t="s">
        <v>180</v>
      </c>
      <c r="B15" s="4">
        <v>52.121</v>
      </c>
      <c r="C15" s="2"/>
      <c r="D15" s="2"/>
      <c r="E15" s="2"/>
      <c r="F15" s="2"/>
      <c r="G15" s="2"/>
      <c r="H15" s="2"/>
      <c r="I15" s="2">
        <f>1601+542</f>
        <v>2143</v>
      </c>
      <c r="J15" s="2">
        <v>2801</v>
      </c>
      <c r="K15" s="2">
        <v>3137</v>
      </c>
      <c r="L15" s="2">
        <v>2209</v>
      </c>
      <c r="M15" s="2">
        <v>3030</v>
      </c>
      <c r="N15" s="2">
        <v>457</v>
      </c>
      <c r="O15" s="2">
        <f aca="true" t="shared" si="0" ref="O15:O20">+N15/$N$3*12</f>
        <v>914</v>
      </c>
      <c r="P15">
        <v>2500</v>
      </c>
      <c r="Q15" s="2">
        <v>5000</v>
      </c>
      <c r="R15" s="2">
        <v>2500</v>
      </c>
      <c r="S15" s="2">
        <v>2500</v>
      </c>
      <c r="T15" s="75"/>
      <c r="U15" s="2"/>
    </row>
    <row r="16" spans="1:20" ht="12.75">
      <c r="A16" t="s">
        <v>516</v>
      </c>
      <c r="B16" s="4">
        <v>52.1211</v>
      </c>
      <c r="C16" s="2"/>
      <c r="D16" s="2"/>
      <c r="E16" s="2"/>
      <c r="F16" s="2"/>
      <c r="G16" s="2"/>
      <c r="H16" s="2"/>
      <c r="I16" s="2">
        <v>3082</v>
      </c>
      <c r="J16" s="2"/>
      <c r="K16" s="2"/>
      <c r="L16" s="2">
        <v>1190</v>
      </c>
      <c r="M16" s="2"/>
      <c r="N16" s="2"/>
      <c r="O16" s="2"/>
      <c r="P16" s="2"/>
      <c r="Q16" s="2"/>
      <c r="R16" s="2"/>
      <c r="S16" s="2"/>
      <c r="T16" s="75"/>
    </row>
    <row r="17" spans="1:20" ht="12.75">
      <c r="A17" t="s">
        <v>58</v>
      </c>
      <c r="B17" s="4">
        <v>52.1302</v>
      </c>
      <c r="C17" s="2"/>
      <c r="D17" s="2"/>
      <c r="E17" s="2"/>
      <c r="F17" s="2"/>
      <c r="G17" s="2">
        <v>685</v>
      </c>
      <c r="H17" s="2"/>
      <c r="I17" s="2">
        <v>3090</v>
      </c>
      <c r="J17" s="2"/>
      <c r="K17" s="2"/>
      <c r="L17" s="2">
        <v>1545</v>
      </c>
      <c r="M17" s="2"/>
      <c r="N17" s="2">
        <v>0</v>
      </c>
      <c r="O17" s="2">
        <f t="shared" si="0"/>
        <v>0</v>
      </c>
      <c r="Q17" s="2"/>
      <c r="T17" s="75"/>
    </row>
    <row r="18" spans="1:20" ht="12.75" hidden="1">
      <c r="A18" t="s">
        <v>134</v>
      </c>
      <c r="B18" s="4">
        <v>52.1305</v>
      </c>
      <c r="C18" s="2"/>
      <c r="D18" s="2"/>
      <c r="E18" s="2">
        <v>791</v>
      </c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  <c r="Q18" s="2"/>
      <c r="T18" s="75"/>
    </row>
    <row r="19" spans="1:20" ht="12.75">
      <c r="A19" t="s">
        <v>135</v>
      </c>
      <c r="B19" s="4">
        <v>52.131</v>
      </c>
      <c r="C19" s="2">
        <v>3232</v>
      </c>
      <c r="D19" s="2">
        <v>2488</v>
      </c>
      <c r="E19" s="2">
        <v>9004</v>
      </c>
      <c r="F19" s="2">
        <v>14311</v>
      </c>
      <c r="G19" s="2">
        <v>16336</v>
      </c>
      <c r="H19" s="2">
        <v>16553</v>
      </c>
      <c r="I19" s="2">
        <v>20343</v>
      </c>
      <c r="J19" s="2">
        <v>16877</v>
      </c>
      <c r="K19" s="2">
        <v>19971</v>
      </c>
      <c r="L19" s="2">
        <v>17642</v>
      </c>
      <c r="M19" s="2">
        <v>20610</v>
      </c>
      <c r="N19" s="2">
        <v>13800</v>
      </c>
      <c r="O19" s="2">
        <f t="shared" si="0"/>
        <v>27600</v>
      </c>
      <c r="P19" s="2">
        <v>18000</v>
      </c>
      <c r="Q19" s="2">
        <v>22000</v>
      </c>
      <c r="R19" s="2">
        <v>22000</v>
      </c>
      <c r="S19" s="2">
        <v>22000</v>
      </c>
      <c r="T19" s="75">
        <f>(S19-P19)/P19</f>
        <v>0.2222222222222222</v>
      </c>
    </row>
    <row r="20" spans="1:20" ht="12.75">
      <c r="A20" t="s">
        <v>144</v>
      </c>
      <c r="B20" s="4">
        <v>52.1312</v>
      </c>
      <c r="C20" s="2"/>
      <c r="D20" s="2"/>
      <c r="E20" s="2">
        <v>297</v>
      </c>
      <c r="F20" s="2">
        <v>648</v>
      </c>
      <c r="G20" s="2">
        <v>370</v>
      </c>
      <c r="H20" s="2">
        <v>924</v>
      </c>
      <c r="I20" s="2">
        <v>884</v>
      </c>
      <c r="J20" s="2">
        <v>1141</v>
      </c>
      <c r="K20" s="2">
        <v>1309</v>
      </c>
      <c r="L20" s="2">
        <v>1580</v>
      </c>
      <c r="M20" s="2">
        <v>2196</v>
      </c>
      <c r="N20" s="2">
        <v>714</v>
      </c>
      <c r="O20" s="2">
        <f t="shared" si="0"/>
        <v>1428</v>
      </c>
      <c r="P20" s="2">
        <v>800</v>
      </c>
      <c r="Q20" s="2">
        <v>2200</v>
      </c>
      <c r="R20" s="2">
        <v>1500</v>
      </c>
      <c r="S20" s="2">
        <v>1500</v>
      </c>
      <c r="T20" s="75">
        <f>(S20-P20)/P20</f>
        <v>0.875</v>
      </c>
    </row>
    <row r="21" spans="1:20" ht="11.25" customHeight="1" hidden="1">
      <c r="A21" t="s">
        <v>447</v>
      </c>
      <c r="B21" s="4">
        <v>52.22</v>
      </c>
      <c r="C21" s="2"/>
      <c r="D21" s="2"/>
      <c r="E21" s="2"/>
      <c r="F21" s="2">
        <v>375</v>
      </c>
      <c r="G21" s="2"/>
      <c r="H21" s="2"/>
      <c r="I21" s="2"/>
      <c r="J21" s="2"/>
      <c r="K21" s="2"/>
      <c r="L21" s="2"/>
      <c r="M21" s="2"/>
      <c r="N21" s="2"/>
      <c r="O21" s="2"/>
      <c r="Q21" s="2"/>
      <c r="T21" s="75"/>
    </row>
    <row r="22" spans="1:20" ht="12.75" hidden="1">
      <c r="A22" t="s">
        <v>136</v>
      </c>
      <c r="B22" s="4">
        <v>52.2204</v>
      </c>
      <c r="C22" s="2">
        <v>759</v>
      </c>
      <c r="D22" s="2">
        <v>811</v>
      </c>
      <c r="E22" s="2">
        <v>378</v>
      </c>
      <c r="F22" s="2">
        <v>294</v>
      </c>
      <c r="G22" s="2">
        <v>234</v>
      </c>
      <c r="H22" s="2">
        <v>162</v>
      </c>
      <c r="I22" s="2"/>
      <c r="J22" s="2"/>
      <c r="K22" s="2"/>
      <c r="L22" s="2"/>
      <c r="M22" s="2"/>
      <c r="N22" s="2"/>
      <c r="O22" s="2">
        <f aca="true" t="shared" si="1" ref="O22:O32">+N22/$N$3*12</f>
        <v>0</v>
      </c>
      <c r="P22" s="2"/>
      <c r="Q22" s="2"/>
      <c r="R22" s="2"/>
      <c r="S22" s="2"/>
      <c r="T22" s="75" t="e">
        <f>(S22-P22)/P22</f>
        <v>#DIV/0!</v>
      </c>
    </row>
    <row r="23" spans="1:20" ht="12.75" hidden="1">
      <c r="A23" t="s">
        <v>149</v>
      </c>
      <c r="B23" s="4">
        <v>52.2206</v>
      </c>
      <c r="C23" s="5"/>
      <c r="D23" s="2">
        <v>2000</v>
      </c>
      <c r="E23" s="5"/>
      <c r="F23" s="5"/>
      <c r="G23" s="2">
        <v>718</v>
      </c>
      <c r="H23" s="5"/>
      <c r="I23" s="5"/>
      <c r="J23" s="5"/>
      <c r="K23" s="5"/>
      <c r="L23" s="5"/>
      <c r="M23" s="5"/>
      <c r="N23" s="5"/>
      <c r="O23" s="2">
        <f t="shared" si="1"/>
        <v>0</v>
      </c>
      <c r="Q23" s="5"/>
      <c r="T23" s="75"/>
    </row>
    <row r="24" spans="1:20" ht="12.75">
      <c r="A24" t="s">
        <v>115</v>
      </c>
      <c r="B24" s="4">
        <v>52.32</v>
      </c>
      <c r="C24" s="2">
        <v>1799</v>
      </c>
      <c r="D24" s="2">
        <v>2232</v>
      </c>
      <c r="E24" s="2">
        <v>2206</v>
      </c>
      <c r="F24" s="2">
        <v>2421</v>
      </c>
      <c r="G24" s="2">
        <v>2427</v>
      </c>
      <c r="H24" s="2">
        <v>2351</v>
      </c>
      <c r="I24" s="2">
        <v>2588</v>
      </c>
      <c r="J24" s="2">
        <v>2468</v>
      </c>
      <c r="K24" s="2">
        <v>2360</v>
      </c>
      <c r="L24" s="2">
        <v>1265</v>
      </c>
      <c r="M24" s="2">
        <v>587</v>
      </c>
      <c r="N24" s="2">
        <v>283</v>
      </c>
      <c r="O24" s="2">
        <f t="shared" si="1"/>
        <v>566</v>
      </c>
      <c r="P24" s="2">
        <v>1300</v>
      </c>
      <c r="Q24" s="2">
        <v>1300</v>
      </c>
      <c r="R24" s="2">
        <v>1300</v>
      </c>
      <c r="S24" s="2">
        <v>1300</v>
      </c>
      <c r="T24" s="75">
        <f>(S24-P24)/P24</f>
        <v>0</v>
      </c>
    </row>
    <row r="25" spans="1:20" ht="12.75">
      <c r="A25" t="s">
        <v>116</v>
      </c>
      <c r="B25" s="4">
        <v>52.321</v>
      </c>
      <c r="C25" s="2">
        <v>1308</v>
      </c>
      <c r="D25" s="2">
        <v>8846</v>
      </c>
      <c r="E25" s="2">
        <v>2556</v>
      </c>
      <c r="F25" s="2">
        <v>2044</v>
      </c>
      <c r="G25" s="2">
        <v>2457</v>
      </c>
      <c r="H25" s="2">
        <v>1925</v>
      </c>
      <c r="I25" s="2">
        <v>1791</v>
      </c>
      <c r="J25" s="2">
        <v>2761</v>
      </c>
      <c r="K25" s="2">
        <v>2670</v>
      </c>
      <c r="L25" s="2">
        <v>1758</v>
      </c>
      <c r="M25" s="2">
        <v>2208</v>
      </c>
      <c r="N25" s="2">
        <v>1400</v>
      </c>
      <c r="O25" s="2">
        <f t="shared" si="1"/>
        <v>2800</v>
      </c>
      <c r="P25" s="2">
        <v>2500</v>
      </c>
      <c r="Q25" s="2">
        <v>3000</v>
      </c>
      <c r="R25" s="2">
        <v>2800</v>
      </c>
      <c r="S25" s="2">
        <v>2800</v>
      </c>
      <c r="T25" s="75">
        <f>(S25-P25)/P25</f>
        <v>0.12</v>
      </c>
    </row>
    <row r="26" spans="1:21" ht="12.75">
      <c r="A26" t="s">
        <v>137</v>
      </c>
      <c r="B26" s="4">
        <v>52.33</v>
      </c>
      <c r="C26" s="2">
        <v>422</v>
      </c>
      <c r="D26" s="2">
        <v>250</v>
      </c>
      <c r="E26" s="2"/>
      <c r="F26" s="2">
        <v>-1394</v>
      </c>
      <c r="G26" s="2">
        <v>-148</v>
      </c>
      <c r="H26" s="2"/>
      <c r="I26" s="2"/>
      <c r="J26" s="2">
        <v>700</v>
      </c>
      <c r="K26" s="2">
        <f>3905+45</f>
        <v>3950</v>
      </c>
      <c r="L26" s="2">
        <v>1980</v>
      </c>
      <c r="M26" s="2">
        <v>1050</v>
      </c>
      <c r="N26" s="2">
        <v>0</v>
      </c>
      <c r="O26" s="2"/>
      <c r="P26">
        <v>2000</v>
      </c>
      <c r="Q26" s="2">
        <v>2000</v>
      </c>
      <c r="R26" s="2">
        <v>2000</v>
      </c>
      <c r="S26" s="2">
        <v>2000</v>
      </c>
      <c r="T26" s="75"/>
      <c r="U26" t="s">
        <v>597</v>
      </c>
    </row>
    <row r="27" spans="1:21" ht="12.75">
      <c r="A27" t="s">
        <v>654</v>
      </c>
      <c r="B27" s="4">
        <v>52.3406</v>
      </c>
      <c r="C27" s="2">
        <v>9236</v>
      </c>
      <c r="D27" s="2">
        <v>10603</v>
      </c>
      <c r="E27" s="2">
        <v>12611</v>
      </c>
      <c r="F27" s="2">
        <v>6871</v>
      </c>
      <c r="G27" s="2">
        <v>7388</v>
      </c>
      <c r="H27" s="2"/>
      <c r="I27" s="2">
        <v>4222</v>
      </c>
      <c r="J27" s="2">
        <v>8264</v>
      </c>
      <c r="K27" s="2">
        <v>7984</v>
      </c>
      <c r="L27" s="2">
        <v>8346</v>
      </c>
      <c r="M27" s="2">
        <v>8427</v>
      </c>
      <c r="N27" s="2">
        <v>3936</v>
      </c>
      <c r="O27" s="2">
        <f t="shared" si="1"/>
        <v>7872</v>
      </c>
      <c r="P27" s="2">
        <v>8400</v>
      </c>
      <c r="Q27" s="2">
        <v>8600</v>
      </c>
      <c r="R27" s="2">
        <v>8400</v>
      </c>
      <c r="S27" s="2">
        <v>8400</v>
      </c>
      <c r="T27" s="75">
        <f>(S27-P27)/P27</f>
        <v>0</v>
      </c>
      <c r="U27" t="s">
        <v>526</v>
      </c>
    </row>
    <row r="28" spans="1:20" ht="12.75">
      <c r="A28" t="s">
        <v>583</v>
      </c>
      <c r="B28" s="4">
        <v>52.3408</v>
      </c>
      <c r="D28" s="2"/>
      <c r="J28">
        <v>19945</v>
      </c>
      <c r="K28" s="2">
        <v>4235</v>
      </c>
      <c r="L28" s="2">
        <v>2659</v>
      </c>
      <c r="M28" s="2">
        <v>2076</v>
      </c>
      <c r="N28" s="2">
        <v>42</v>
      </c>
      <c r="O28" s="2">
        <f>+N28/$N$3*12</f>
        <v>84</v>
      </c>
      <c r="P28">
        <v>3000</v>
      </c>
      <c r="Q28" s="18">
        <v>2500</v>
      </c>
      <c r="R28" s="2">
        <v>2500</v>
      </c>
      <c r="S28" s="2">
        <v>2500</v>
      </c>
      <c r="T28" s="75"/>
    </row>
    <row r="29" spans="1:20" ht="12.75">
      <c r="A29" t="s">
        <v>128</v>
      </c>
      <c r="B29" s="4">
        <v>52.35</v>
      </c>
      <c r="C29" s="2">
        <v>1760</v>
      </c>
      <c r="D29" s="2">
        <v>1478</v>
      </c>
      <c r="E29" s="2">
        <v>1012</v>
      </c>
      <c r="F29" s="2">
        <v>757</v>
      </c>
      <c r="G29" s="2">
        <v>248</v>
      </c>
      <c r="H29" s="2"/>
      <c r="I29" s="2">
        <v>1072</v>
      </c>
      <c r="J29" s="2">
        <v>54</v>
      </c>
      <c r="K29" s="2">
        <v>92</v>
      </c>
      <c r="L29" s="2">
        <v>32</v>
      </c>
      <c r="M29" s="2"/>
      <c r="N29" s="2">
        <v>0</v>
      </c>
      <c r="O29" s="2">
        <f t="shared" si="1"/>
        <v>0</v>
      </c>
      <c r="P29" s="2"/>
      <c r="Q29" s="2"/>
      <c r="R29" s="2"/>
      <c r="S29" s="2"/>
      <c r="T29" s="75" t="e">
        <f>(S29-P29)/P29</f>
        <v>#DIV/0!</v>
      </c>
    </row>
    <row r="30" spans="1:20" ht="12.75">
      <c r="A30" t="s">
        <v>118</v>
      </c>
      <c r="B30" s="4">
        <v>52.3602</v>
      </c>
      <c r="C30" s="2">
        <v>250</v>
      </c>
      <c r="D30" s="2">
        <v>250</v>
      </c>
      <c r="E30" s="2">
        <v>250</v>
      </c>
      <c r="F30" s="2">
        <v>300</v>
      </c>
      <c r="G30" s="2">
        <v>100</v>
      </c>
      <c r="H30" s="2">
        <v>200</v>
      </c>
      <c r="I30" s="2">
        <v>300</v>
      </c>
      <c r="J30" s="2">
        <v>300</v>
      </c>
      <c r="K30" s="2">
        <v>200</v>
      </c>
      <c r="L30" s="2">
        <v>200</v>
      </c>
      <c r="M30" s="2">
        <v>300</v>
      </c>
      <c r="N30" s="2">
        <v>350</v>
      </c>
      <c r="O30" s="2">
        <f t="shared" si="1"/>
        <v>700</v>
      </c>
      <c r="P30" s="2">
        <v>200</v>
      </c>
      <c r="Q30" s="2">
        <v>350</v>
      </c>
      <c r="R30" s="2">
        <v>350</v>
      </c>
      <c r="S30" s="2">
        <v>350</v>
      </c>
      <c r="T30" s="75">
        <f>(S30-P30)/P30</f>
        <v>0.75</v>
      </c>
    </row>
    <row r="31" spans="1:20" ht="12.75">
      <c r="A31" t="s">
        <v>129</v>
      </c>
      <c r="B31" s="4">
        <v>52.37</v>
      </c>
      <c r="C31" s="2"/>
      <c r="D31" s="2"/>
      <c r="E31" s="2">
        <v>945</v>
      </c>
      <c r="F31" s="2">
        <v>670</v>
      </c>
      <c r="G31" s="2">
        <v>775</v>
      </c>
      <c r="H31" s="2">
        <v>460</v>
      </c>
      <c r="I31" s="2"/>
      <c r="J31" s="2"/>
      <c r="K31" s="2">
        <v>525</v>
      </c>
      <c r="L31" s="2">
        <v>395</v>
      </c>
      <c r="M31" s="2">
        <v>740</v>
      </c>
      <c r="N31" s="2">
        <v>0</v>
      </c>
      <c r="O31" s="2">
        <f t="shared" si="1"/>
        <v>0</v>
      </c>
      <c r="P31" s="2">
        <v>300</v>
      </c>
      <c r="Q31" s="2">
        <v>1000</v>
      </c>
      <c r="R31" s="2">
        <v>750</v>
      </c>
      <c r="S31" s="2">
        <v>750</v>
      </c>
      <c r="T31" s="75">
        <f>(S31-P31)/P31</f>
        <v>1.5</v>
      </c>
    </row>
    <row r="32" spans="1:20" ht="12.75">
      <c r="A32" t="s">
        <v>123</v>
      </c>
      <c r="B32" s="4">
        <v>53.171</v>
      </c>
      <c r="C32" s="2">
        <v>3340</v>
      </c>
      <c r="D32" s="2">
        <v>3361</v>
      </c>
      <c r="E32" s="2">
        <v>1868</v>
      </c>
      <c r="F32" s="2">
        <v>2029</v>
      </c>
      <c r="G32" s="2">
        <v>3253</v>
      </c>
      <c r="H32" s="2">
        <v>2442</v>
      </c>
      <c r="I32" s="2">
        <v>4386</v>
      </c>
      <c r="J32" s="2">
        <v>3235</v>
      </c>
      <c r="K32" s="2">
        <v>3592</v>
      </c>
      <c r="L32" s="2">
        <v>2967</v>
      </c>
      <c r="M32" s="2">
        <v>4068</v>
      </c>
      <c r="N32" s="2">
        <v>1733</v>
      </c>
      <c r="O32" s="2">
        <f t="shared" si="1"/>
        <v>3466</v>
      </c>
      <c r="P32" s="2">
        <v>2400</v>
      </c>
      <c r="Q32" s="2">
        <v>3300</v>
      </c>
      <c r="R32" s="2">
        <v>3300</v>
      </c>
      <c r="S32" s="2">
        <v>3300</v>
      </c>
      <c r="T32" s="75">
        <f>(S32-P32)/P32</f>
        <v>0.375</v>
      </c>
    </row>
    <row r="33" spans="1:20" ht="12.75">
      <c r="A33" t="s">
        <v>248</v>
      </c>
      <c r="B33" s="4">
        <v>53.175</v>
      </c>
      <c r="C33" s="2"/>
      <c r="D33" s="2"/>
      <c r="E33" s="2"/>
      <c r="F33" s="2"/>
      <c r="G33" s="2"/>
      <c r="H33" s="2"/>
      <c r="I33" s="2"/>
      <c r="J33" s="2"/>
      <c r="K33" s="2">
        <v>99</v>
      </c>
      <c r="L33" s="2"/>
      <c r="M33" s="2"/>
      <c r="N33" s="2"/>
      <c r="O33" s="2"/>
      <c r="P33" s="2"/>
      <c r="Q33" s="2"/>
      <c r="R33" s="2"/>
      <c r="S33" s="2"/>
      <c r="T33" s="75"/>
    </row>
    <row r="34" spans="2:20" ht="12.75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75"/>
    </row>
    <row r="35" spans="1:21" ht="12.75">
      <c r="A35" t="s">
        <v>946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15000</v>
      </c>
      <c r="R35" s="2">
        <v>15000</v>
      </c>
      <c r="S35" s="2">
        <v>15000</v>
      </c>
      <c r="T35" s="75"/>
      <c r="U35" t="s">
        <v>948</v>
      </c>
    </row>
    <row r="36" spans="1:20" ht="12.75">
      <c r="A36" t="s">
        <v>947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15000</v>
      </c>
      <c r="R36" s="2">
        <v>15000</v>
      </c>
      <c r="S36" s="2">
        <v>15000</v>
      </c>
      <c r="T36" s="75"/>
    </row>
    <row r="37" spans="2:20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5"/>
    </row>
    <row r="38" spans="1:21" ht="12.75">
      <c r="A38" t="s">
        <v>370</v>
      </c>
      <c r="B38" s="4">
        <v>54.24</v>
      </c>
      <c r="C38" s="2"/>
      <c r="D38" s="2"/>
      <c r="E38" s="2"/>
      <c r="F38" s="2">
        <v>690</v>
      </c>
      <c r="G38" s="2">
        <v>750</v>
      </c>
      <c r="H38" s="2">
        <v>1275</v>
      </c>
      <c r="I38" s="2">
        <v>3539</v>
      </c>
      <c r="J38" s="2"/>
      <c r="K38" s="2">
        <v>27429</v>
      </c>
      <c r="L38" s="2"/>
      <c r="M38" s="2">
        <v>598</v>
      </c>
      <c r="N38" s="2">
        <v>730</v>
      </c>
      <c r="O38" s="2"/>
      <c r="P38" s="2"/>
      <c r="Q38" s="2"/>
      <c r="R38" s="2"/>
      <c r="S38" s="2"/>
      <c r="T38" s="75"/>
      <c r="U38" s="30"/>
    </row>
    <row r="39" spans="1:20" ht="12.75" hidden="1">
      <c r="A39" t="s">
        <v>138</v>
      </c>
      <c r="B39" s="4">
        <v>54.23</v>
      </c>
      <c r="C39" s="5"/>
      <c r="D39" s="2">
        <v>3080</v>
      </c>
      <c r="E39" s="5">
        <v>2445</v>
      </c>
      <c r="F39" s="5"/>
      <c r="G39" s="5"/>
      <c r="H39" s="5"/>
      <c r="I39" s="5"/>
      <c r="J39" s="5"/>
      <c r="K39" s="5"/>
      <c r="L39" s="5"/>
      <c r="M39" s="5"/>
      <c r="N39" s="5"/>
      <c r="O39" s="2">
        <f>+N39/$N$3*12</f>
        <v>0</v>
      </c>
      <c r="Q39" s="2"/>
      <c r="T39" s="75"/>
    </row>
    <row r="40" spans="1:21" ht="12.75">
      <c r="A40" t="s">
        <v>288</v>
      </c>
      <c r="B40" s="4">
        <v>54.25</v>
      </c>
      <c r="C40" s="5"/>
      <c r="D40" s="2">
        <v>4420</v>
      </c>
      <c r="E40" s="5"/>
      <c r="F40" s="5"/>
      <c r="G40" s="5"/>
      <c r="H40" s="2">
        <v>1532</v>
      </c>
      <c r="I40" s="5"/>
      <c r="J40" s="5"/>
      <c r="K40" s="5"/>
      <c r="L40" s="5"/>
      <c r="M40" s="5"/>
      <c r="N40" s="5"/>
      <c r="O40" s="2">
        <f>+N40/$N$3*12</f>
        <v>0</v>
      </c>
      <c r="P40" s="2"/>
      <c r="Q40" s="2"/>
      <c r="R40" s="2"/>
      <c r="S40" s="2"/>
      <c r="T40" s="75"/>
      <c r="U40" s="30"/>
    </row>
    <row r="41" spans="1:21" ht="12.75">
      <c r="A41" t="s">
        <v>832</v>
      </c>
      <c r="B41" s="4">
        <v>53.1737</v>
      </c>
      <c r="C41" s="5"/>
      <c r="D41" s="2"/>
      <c r="E41" s="5"/>
      <c r="F41" s="5"/>
      <c r="G41" s="5"/>
      <c r="H41" s="2"/>
      <c r="I41" s="5"/>
      <c r="J41" s="5"/>
      <c r="K41" s="5"/>
      <c r="L41" s="5">
        <v>292</v>
      </c>
      <c r="M41" s="5"/>
      <c r="N41" s="5"/>
      <c r="O41" s="2"/>
      <c r="P41" s="2"/>
      <c r="Q41" s="2"/>
      <c r="R41" s="2"/>
      <c r="S41" s="2"/>
      <c r="T41" s="75"/>
      <c r="U41" s="30"/>
    </row>
    <row r="42" spans="1:21" ht="12.75">
      <c r="A42" t="s">
        <v>59</v>
      </c>
      <c r="B42" s="4"/>
      <c r="C42" s="5"/>
      <c r="D42" s="2"/>
      <c r="E42" s="5"/>
      <c r="F42" s="5"/>
      <c r="G42" s="5"/>
      <c r="H42" s="2"/>
      <c r="I42" s="5"/>
      <c r="J42" s="5"/>
      <c r="K42" s="5"/>
      <c r="L42" s="2">
        <v>26</v>
      </c>
      <c r="M42" s="5"/>
      <c r="N42" s="5"/>
      <c r="O42" s="2"/>
      <c r="P42" s="2"/>
      <c r="Q42" s="2"/>
      <c r="R42" s="2"/>
      <c r="S42" s="2"/>
      <c r="T42" s="75"/>
      <c r="U42" s="30"/>
    </row>
    <row r="43" spans="2:20" ht="12.75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>+N43/$N$3*12</f>
        <v>0</v>
      </c>
      <c r="P43" s="2"/>
      <c r="Q43" s="2"/>
      <c r="R43" s="2"/>
      <c r="S43" s="2"/>
      <c r="T43" s="76">
        <f>IF(S43="","",+S43-$P43)</f>
      </c>
    </row>
    <row r="44" spans="1:20" ht="12.75">
      <c r="A44" s="6" t="s">
        <v>91</v>
      </c>
      <c r="B44" s="6"/>
      <c r="C44" s="7">
        <f aca="true" t="shared" si="2" ref="C44:O44">SUM(C7:C43)</f>
        <v>149863</v>
      </c>
      <c r="D44" s="8">
        <f t="shared" si="2"/>
        <v>185873</v>
      </c>
      <c r="E44" s="8">
        <f t="shared" si="2"/>
        <v>193528</v>
      </c>
      <c r="F44" s="8">
        <f t="shared" si="2"/>
        <v>210804</v>
      </c>
      <c r="G44" s="8">
        <f t="shared" si="2"/>
        <v>219949</v>
      </c>
      <c r="H44" s="8">
        <f t="shared" si="2"/>
        <v>224174</v>
      </c>
      <c r="I44" s="8">
        <f t="shared" si="2"/>
        <v>210499</v>
      </c>
      <c r="J44" s="8">
        <v>234447</v>
      </c>
      <c r="K44" s="8">
        <f t="shared" si="2"/>
        <v>256927</v>
      </c>
      <c r="L44" s="8">
        <v>229705</v>
      </c>
      <c r="M44" s="8">
        <v>230331</v>
      </c>
      <c r="N44" s="8">
        <f t="shared" si="2"/>
        <v>120234</v>
      </c>
      <c r="O44" s="8">
        <f t="shared" si="2"/>
        <v>239484.087</v>
      </c>
      <c r="P44" s="8">
        <f>SUM(P7:P43)</f>
        <v>245620.41356000002</v>
      </c>
      <c r="Q44" s="8">
        <f>SUM(Q7:Q43)</f>
        <v>288250.512</v>
      </c>
      <c r="R44" s="8">
        <f>SUM(R7:R43)</f>
        <v>284400.77035999997</v>
      </c>
      <c r="S44" s="8">
        <f>SUM(S7:S43)</f>
        <v>282900.77035999997</v>
      </c>
      <c r="T44" s="77">
        <f>(S44-P44)/P44</f>
        <v>0.15178036816916737</v>
      </c>
    </row>
    <row r="46" spans="16:18" ht="12.75">
      <c r="P46" s="20" t="s">
        <v>445</v>
      </c>
      <c r="Q46" s="20"/>
      <c r="R46" s="52">
        <f>Q44-R44</f>
        <v>3849.741640000022</v>
      </c>
    </row>
    <row r="47" spans="1:18" ht="12.75">
      <c r="A47" s="6" t="s">
        <v>923</v>
      </c>
      <c r="P47" s="20" t="s">
        <v>668</v>
      </c>
      <c r="Q47" s="20"/>
      <c r="R47" s="52">
        <f>P44-R44</f>
        <v>-38780.35679999995</v>
      </c>
    </row>
    <row r="48" spans="16:18" ht="12.75">
      <c r="P48" s="20" t="s">
        <v>397</v>
      </c>
      <c r="Q48" s="20"/>
      <c r="R48" s="52">
        <f>R44-S44</f>
        <v>1500</v>
      </c>
    </row>
    <row r="49" ht="12.75">
      <c r="A49" t="s">
        <v>732</v>
      </c>
    </row>
    <row r="50" ht="12.75">
      <c r="A50" t="s">
        <v>949</v>
      </c>
    </row>
    <row r="51" ht="12.75">
      <c r="A51" s="20" t="s">
        <v>958</v>
      </c>
    </row>
    <row r="52" spans="1:13" ht="12.75">
      <c r="A52" s="41" t="s">
        <v>582</v>
      </c>
      <c r="B52" s="38">
        <v>31.1391</v>
      </c>
      <c r="C52" s="39"/>
      <c r="D52" s="39">
        <v>2500</v>
      </c>
      <c r="E52" s="20" t="s">
        <v>504</v>
      </c>
      <c r="F52" s="20" t="s">
        <v>564</v>
      </c>
      <c r="G52" s="20"/>
      <c r="H52" s="20"/>
      <c r="I52" s="39">
        <f>2700+100</f>
        <v>2800</v>
      </c>
      <c r="J52" s="39">
        <v>3935</v>
      </c>
      <c r="K52" s="39">
        <v>4255</v>
      </c>
      <c r="L52" s="39">
        <v>3978</v>
      </c>
      <c r="M52" s="39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Jon Caime Hart County Administrator</cp:lastModifiedBy>
  <cp:lastPrinted>2010-11-12T16:14:58Z</cp:lastPrinted>
  <dcterms:created xsi:type="dcterms:W3CDTF">2001-08-02T22:29:16Z</dcterms:created>
  <dcterms:modified xsi:type="dcterms:W3CDTF">2011-01-05T17:04:41Z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-1376443810</vt:i4>
  </property>
  <property fmtid="{D5CDD505-2E9C-101B-9397-08002B2CF9AE}" pid="3" name="_EmailSubject">
    <vt:lpwstr>for website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pwdirector</vt:lpwstr>
  </property>
  <property fmtid="{D5CDD505-2E9C-101B-9397-08002B2CF9AE}" pid="6" name="_PreviousAdHocReviewCycleID">
    <vt:i4>-1723018540</vt:i4>
  </property>
</Properties>
</file>